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35" windowHeight="8820" activeTab="1"/>
  </bookViews>
  <sheets>
    <sheet name="Титул" sheetId="10" r:id="rId1"/>
    <sheet name="на выход" sheetId="1" r:id="rId2"/>
    <sheet name="сводки БЖУ" sheetId="2" r:id="rId3"/>
    <sheet name="сводки по продуктам" sheetId="5" r:id="rId4"/>
    <sheet name="обьемы по приемам пищи" sheetId="9" r:id="rId5"/>
    <sheet name="библиография" sheetId="7" r:id="rId6"/>
    <sheet name="Лист1" sheetId="8" state="hidden" r:id="rId7"/>
  </sheets>
  <externalReferences>
    <externalReference r:id="rId8"/>
  </externalReferences>
  <calcPr calcId="124519"/>
</workbook>
</file>

<file path=xl/calcChain.xml><?xml version="1.0" encoding="utf-8"?>
<calcChain xmlns="http://schemas.openxmlformats.org/spreadsheetml/2006/main">
  <c r="H20" i="5"/>
  <c r="E370" i="1" l="1"/>
  <c r="E355"/>
  <c r="E352"/>
  <c r="E342"/>
  <c r="E330"/>
  <c r="E312"/>
  <c r="E307"/>
  <c r="E303"/>
  <c r="E291"/>
  <c r="E262" l="1"/>
  <c r="F276"/>
  <c r="G276"/>
  <c r="H276"/>
  <c r="I276"/>
  <c r="J276"/>
  <c r="K276"/>
  <c r="L276"/>
  <c r="E276"/>
  <c r="L267"/>
  <c r="K267"/>
  <c r="J267"/>
  <c r="I267"/>
  <c r="H267"/>
  <c r="G267"/>
  <c r="F267"/>
  <c r="E267"/>
  <c r="E268" s="1"/>
  <c r="E250"/>
  <c r="F236"/>
  <c r="G236"/>
  <c r="H236"/>
  <c r="I236"/>
  <c r="J236"/>
  <c r="K236"/>
  <c r="L236"/>
  <c r="E236"/>
  <c r="F229"/>
  <c r="G229"/>
  <c r="H229"/>
  <c r="I229"/>
  <c r="J229"/>
  <c r="K229"/>
  <c r="L229"/>
  <c r="E229"/>
  <c r="E211"/>
  <c r="E197"/>
  <c r="E174"/>
  <c r="E185"/>
  <c r="F174"/>
  <c r="G174"/>
  <c r="H174"/>
  <c r="I174"/>
  <c r="J174"/>
  <c r="K174"/>
  <c r="L174"/>
  <c r="E136" l="1"/>
  <c r="E107" l="1"/>
  <c r="E62"/>
  <c r="E69" s="1"/>
  <c r="E55"/>
  <c r="E31"/>
  <c r="E32" s="1"/>
  <c r="D25"/>
  <c r="E25"/>
  <c r="F25"/>
  <c r="G25"/>
  <c r="H25"/>
  <c r="I25"/>
  <c r="J25"/>
  <c r="K25"/>
  <c r="L25"/>
  <c r="F31"/>
  <c r="G31"/>
  <c r="H31"/>
  <c r="I31"/>
  <c r="J31"/>
  <c r="K31"/>
  <c r="L31"/>
  <c r="D15" l="1"/>
  <c r="B33" i="5"/>
  <c r="B34" s="1"/>
  <c r="F394" i="1" l="1"/>
  <c r="G394"/>
  <c r="H394"/>
  <c r="I394"/>
  <c r="J394"/>
  <c r="K394"/>
  <c r="L394"/>
  <c r="E394"/>
  <c r="E377" l="1"/>
  <c r="E384" s="1"/>
  <c r="L377"/>
  <c r="L384" s="1"/>
  <c r="K377"/>
  <c r="K384" s="1"/>
  <c r="J377"/>
  <c r="J384" s="1"/>
  <c r="I377"/>
  <c r="I384" s="1"/>
  <c r="H377"/>
  <c r="H384" s="1"/>
  <c r="G377"/>
  <c r="G384" s="1"/>
  <c r="F377"/>
  <c r="F384" s="1"/>
  <c r="F373"/>
  <c r="G373"/>
  <c r="H373"/>
  <c r="I373"/>
  <c r="J373"/>
  <c r="K373"/>
  <c r="L373"/>
  <c r="E373"/>
  <c r="D373"/>
  <c r="D395" s="1"/>
  <c r="L352"/>
  <c r="L355" s="1"/>
  <c r="K352"/>
  <c r="K355" s="1"/>
  <c r="J352"/>
  <c r="J355" s="1"/>
  <c r="I352"/>
  <c r="I355" s="1"/>
  <c r="H352"/>
  <c r="H355" s="1"/>
  <c r="G352"/>
  <c r="G355" s="1"/>
  <c r="F352"/>
  <c r="F355" s="1"/>
  <c r="E346" l="1"/>
  <c r="D342"/>
  <c r="F333"/>
  <c r="G333"/>
  <c r="H333"/>
  <c r="I333"/>
  <c r="J333"/>
  <c r="K333"/>
  <c r="L333"/>
  <c r="E333"/>
  <c r="D333"/>
  <c r="F312"/>
  <c r="F316" s="1"/>
  <c r="G312"/>
  <c r="G316" s="1"/>
  <c r="H312"/>
  <c r="H316" s="1"/>
  <c r="I312"/>
  <c r="I316" s="1"/>
  <c r="J312"/>
  <c r="J316" s="1"/>
  <c r="K312"/>
  <c r="K316" s="1"/>
  <c r="L312"/>
  <c r="L316" s="1"/>
  <c r="E316"/>
  <c r="F294"/>
  <c r="G294"/>
  <c r="H294"/>
  <c r="I294"/>
  <c r="J294"/>
  <c r="K294"/>
  <c r="L294"/>
  <c r="E294"/>
  <c r="D294"/>
  <c r="D317" s="1"/>
  <c r="L268"/>
  <c r="K268"/>
  <c r="J268"/>
  <c r="I268"/>
  <c r="H268"/>
  <c r="G268"/>
  <c r="F268"/>
  <c r="F32"/>
  <c r="G32"/>
  <c r="H32"/>
  <c r="I32"/>
  <c r="J32"/>
  <c r="K32"/>
  <c r="L32"/>
  <c r="F262"/>
  <c r="G262"/>
  <c r="H262"/>
  <c r="I262"/>
  <c r="J262"/>
  <c r="K262"/>
  <c r="L262"/>
  <c r="D262"/>
  <c r="D253"/>
  <c r="F253"/>
  <c r="G253"/>
  <c r="H253"/>
  <c r="I253"/>
  <c r="J253"/>
  <c r="K253"/>
  <c r="L253"/>
  <c r="E253"/>
  <c r="E277" s="1"/>
  <c r="F197"/>
  <c r="G197"/>
  <c r="H197"/>
  <c r="I197"/>
  <c r="J197"/>
  <c r="K197"/>
  <c r="L197"/>
  <c r="E189"/>
  <c r="F185"/>
  <c r="G185"/>
  <c r="H185"/>
  <c r="I185"/>
  <c r="J185"/>
  <c r="K185"/>
  <c r="L185"/>
  <c r="F177"/>
  <c r="G177"/>
  <c r="H177"/>
  <c r="I177"/>
  <c r="J177"/>
  <c r="K177"/>
  <c r="L177"/>
  <c r="E177"/>
  <c r="D177"/>
  <c r="D198" s="1"/>
  <c r="D356" l="1"/>
  <c r="E356"/>
  <c r="E358" s="1"/>
  <c r="E317"/>
  <c r="E319" s="1"/>
  <c r="E198"/>
  <c r="E200" s="1"/>
  <c r="E152"/>
  <c r="F148"/>
  <c r="G148"/>
  <c r="H148"/>
  <c r="I148"/>
  <c r="J148"/>
  <c r="K148"/>
  <c r="L148"/>
  <c r="E148"/>
  <c r="F139"/>
  <c r="G139"/>
  <c r="H139"/>
  <c r="I139"/>
  <c r="J139"/>
  <c r="K139"/>
  <c r="L139"/>
  <c r="E139"/>
  <c r="D139"/>
  <c r="F136"/>
  <c r="G136"/>
  <c r="H136"/>
  <c r="I136"/>
  <c r="J136"/>
  <c r="K136"/>
  <c r="L136"/>
  <c r="E117"/>
  <c r="E122" s="1"/>
  <c r="L117"/>
  <c r="L122" s="1"/>
  <c r="K117"/>
  <c r="K122" s="1"/>
  <c r="J117"/>
  <c r="J122" s="1"/>
  <c r="I117"/>
  <c r="I122" s="1"/>
  <c r="H117"/>
  <c r="H122" s="1"/>
  <c r="G117"/>
  <c r="G122" s="1"/>
  <c r="F117"/>
  <c r="F122" s="1"/>
  <c r="E111"/>
  <c r="F95"/>
  <c r="G95"/>
  <c r="H95"/>
  <c r="I95"/>
  <c r="J95"/>
  <c r="K95"/>
  <c r="L95"/>
  <c r="F98"/>
  <c r="G98"/>
  <c r="H98"/>
  <c r="I98"/>
  <c r="J98"/>
  <c r="K98"/>
  <c r="L98"/>
  <c r="E98"/>
  <c r="D98"/>
  <c r="D123" s="1"/>
  <c r="E95"/>
  <c r="F80" l="1"/>
  <c r="G80"/>
  <c r="H80"/>
  <c r="I80"/>
  <c r="J80"/>
  <c r="K80"/>
  <c r="L80"/>
  <c r="E80"/>
  <c r="E73"/>
  <c r="F62"/>
  <c r="F69" s="1"/>
  <c r="G62"/>
  <c r="G69" s="1"/>
  <c r="H62"/>
  <c r="H69" s="1"/>
  <c r="I62"/>
  <c r="I69" s="1"/>
  <c r="J62"/>
  <c r="J69" s="1"/>
  <c r="K62"/>
  <c r="K69" s="1"/>
  <c r="L62"/>
  <c r="L69" s="1"/>
  <c r="F58"/>
  <c r="G58"/>
  <c r="H58"/>
  <c r="I58"/>
  <c r="J58"/>
  <c r="K58"/>
  <c r="L58"/>
  <c r="E58"/>
  <c r="D58"/>
  <c r="D81" s="1"/>
  <c r="F55"/>
  <c r="G55"/>
  <c r="H55"/>
  <c r="I55"/>
  <c r="J55"/>
  <c r="K55"/>
  <c r="L55"/>
  <c r="D41"/>
  <c r="E12"/>
  <c r="F12"/>
  <c r="G12"/>
  <c r="H12"/>
  <c r="I12"/>
  <c r="J12"/>
  <c r="K12"/>
  <c r="L12"/>
  <c r="E81" l="1"/>
  <c r="E83" s="1"/>
  <c r="E218"/>
  <c r="E224" s="1"/>
  <c r="L218"/>
  <c r="L224" s="1"/>
  <c r="K218"/>
  <c r="K224" s="1"/>
  <c r="J218"/>
  <c r="J224" s="1"/>
  <c r="I218"/>
  <c r="I224" s="1"/>
  <c r="H218"/>
  <c r="H224" s="1"/>
  <c r="G218"/>
  <c r="G224" s="1"/>
  <c r="F218"/>
  <c r="F224" s="1"/>
  <c r="F214"/>
  <c r="G214"/>
  <c r="H214"/>
  <c r="I214"/>
  <c r="J214"/>
  <c r="K214"/>
  <c r="L214"/>
  <c r="E214"/>
  <c r="E237" s="1"/>
  <c r="D214"/>
  <c r="D237" s="1"/>
  <c r="F40"/>
  <c r="G40"/>
  <c r="H40"/>
  <c r="I40"/>
  <c r="J40"/>
  <c r="K40"/>
  <c r="L40"/>
  <c r="E40"/>
  <c r="F15"/>
  <c r="G15"/>
  <c r="H15"/>
  <c r="I15"/>
  <c r="J15"/>
  <c r="K15"/>
  <c r="L15"/>
  <c r="E15"/>
  <c r="D402" l="1"/>
  <c r="E41"/>
  <c r="E43" s="1"/>
  <c r="B19" i="5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E31"/>
  <c r="F31" s="1"/>
  <c r="H31" s="1"/>
  <c r="E18"/>
  <c r="F18" s="1"/>
  <c r="H18" s="1"/>
  <c r="D160" i="1" l="1"/>
  <c r="G14" i="9" l="1"/>
  <c r="F14"/>
  <c r="E14"/>
  <c r="D14"/>
  <c r="C14"/>
  <c r="G13"/>
  <c r="F13"/>
  <c r="E13"/>
  <c r="D13"/>
  <c r="C13"/>
  <c r="F12"/>
  <c r="E12"/>
  <c r="D12"/>
  <c r="C12"/>
  <c r="D11"/>
  <c r="C11"/>
  <c r="G10"/>
  <c r="F10"/>
  <c r="E10"/>
  <c r="D10"/>
  <c r="C10"/>
  <c r="G9"/>
  <c r="E9"/>
  <c r="D9"/>
  <c r="C9"/>
  <c r="G8"/>
  <c r="F8"/>
  <c r="E8"/>
  <c r="D8"/>
  <c r="C8"/>
  <c r="F7"/>
  <c r="E7"/>
  <c r="D7"/>
  <c r="G6"/>
  <c r="F6"/>
  <c r="C6"/>
  <c r="F5"/>
  <c r="E5"/>
  <c r="D5"/>
  <c r="C5"/>
  <c r="F9"/>
  <c r="E34" i="5"/>
  <c r="F34" s="1"/>
  <c r="H34" s="1"/>
  <c r="E33"/>
  <c r="F33" s="1"/>
  <c r="H33" s="1"/>
  <c r="E32"/>
  <c r="F32" s="1"/>
  <c r="H32" s="1"/>
  <c r="E30"/>
  <c r="F30" s="1"/>
  <c r="H30" s="1"/>
  <c r="E29"/>
  <c r="F29" s="1"/>
  <c r="H29" s="1"/>
  <c r="E28"/>
  <c r="F28" s="1"/>
  <c r="E27"/>
  <c r="F27" s="1"/>
  <c r="H27" s="1"/>
  <c r="E26"/>
  <c r="F26" s="1"/>
  <c r="H26" s="1"/>
  <c r="E25"/>
  <c r="F25" s="1"/>
  <c r="H25" s="1"/>
  <c r="E24"/>
  <c r="F24" s="1"/>
  <c r="H24" s="1"/>
  <c r="E23"/>
  <c r="F23" s="1"/>
  <c r="H23" s="1"/>
  <c r="E22"/>
  <c r="F22" s="1"/>
  <c r="E21"/>
  <c r="F21" s="1"/>
  <c r="E20"/>
  <c r="F20" s="1"/>
  <c r="E19"/>
  <c r="F19" s="1"/>
  <c r="E17"/>
  <c r="F17" s="1"/>
  <c r="E16"/>
  <c r="F16" s="1"/>
  <c r="E15"/>
  <c r="F15" s="1"/>
  <c r="E14"/>
  <c r="F14" s="1"/>
  <c r="H14" s="1"/>
  <c r="E13"/>
  <c r="F13" s="1"/>
  <c r="E12"/>
  <c r="F12" s="1"/>
  <c r="H12" s="1"/>
  <c r="E11"/>
  <c r="F11" s="1"/>
  <c r="H11" s="1"/>
  <c r="E10"/>
  <c r="F10" s="1"/>
  <c r="H10" s="1"/>
  <c r="E9"/>
  <c r="F9" s="1"/>
  <c r="H9" s="1"/>
  <c r="E8"/>
  <c r="F8" s="1"/>
  <c r="H8" s="1"/>
  <c r="E7"/>
  <c r="F7" s="1"/>
  <c r="I7" s="1"/>
  <c r="E6"/>
  <c r="F6" s="1"/>
  <c r="I6" s="1"/>
  <c r="H19" l="1"/>
  <c r="H15"/>
  <c r="H16"/>
  <c r="H21"/>
  <c r="H28"/>
  <c r="H13"/>
  <c r="H17"/>
  <c r="H22"/>
  <c r="H6"/>
  <c r="H7"/>
  <c r="G388" i="1" l="1"/>
  <c r="I388"/>
  <c r="J388"/>
  <c r="K388"/>
  <c r="F346"/>
  <c r="G346"/>
  <c r="H346"/>
  <c r="I346"/>
  <c r="J346"/>
  <c r="K346"/>
  <c r="L346"/>
  <c r="I307"/>
  <c r="G11" i="9"/>
  <c r="F11"/>
  <c r="F16" s="1"/>
  <c r="K307" i="1" l="1"/>
  <c r="F307"/>
  <c r="G307"/>
  <c r="H307"/>
  <c r="J307"/>
  <c r="E388"/>
  <c r="E395" s="1"/>
  <c r="E397" s="1"/>
  <c r="F388"/>
  <c r="L388"/>
  <c r="G12" i="9"/>
  <c r="H388" i="1"/>
  <c r="L307"/>
  <c r="F152" l="1"/>
  <c r="G7" i="9"/>
  <c r="G111" i="1"/>
  <c r="L111"/>
  <c r="H111" l="1"/>
  <c r="G152"/>
  <c r="K73"/>
  <c r="L152"/>
  <c r="G73"/>
  <c r="J152"/>
  <c r="H152"/>
  <c r="J189"/>
  <c r="J198" s="1"/>
  <c r="J200" s="1"/>
  <c r="J73"/>
  <c r="K111"/>
  <c r="I189"/>
  <c r="I198" s="1"/>
  <c r="I200" s="1"/>
  <c r="L189"/>
  <c r="L198" s="1"/>
  <c r="L200" s="1"/>
  <c r="H189"/>
  <c r="H198" s="1"/>
  <c r="H200" s="1"/>
  <c r="K189"/>
  <c r="K198" s="1"/>
  <c r="K200" s="1"/>
  <c r="H73"/>
  <c r="G189"/>
  <c r="G198" s="1"/>
  <c r="G200" s="1"/>
  <c r="C7" i="9"/>
  <c r="C16" s="1"/>
  <c r="I152" i="1"/>
  <c r="K152"/>
  <c r="J111"/>
  <c r="F189"/>
  <c r="F198" s="1"/>
  <c r="F200" s="1"/>
  <c r="I73"/>
  <c r="F111"/>
  <c r="I111"/>
  <c r="L73"/>
  <c r="F73"/>
  <c r="D404" l="1"/>
  <c r="G5" i="9"/>
  <c r="G16" s="1"/>
  <c r="J330" i="1" l="1"/>
  <c r="L330"/>
  <c r="H330"/>
  <c r="K330"/>
  <c r="G330"/>
  <c r="I330"/>
  <c r="F330"/>
  <c r="L370"/>
  <c r="L395" s="1"/>
  <c r="L397" s="1"/>
  <c r="H370"/>
  <c r="K370"/>
  <c r="K395" s="1"/>
  <c r="K397" s="1"/>
  <c r="G370"/>
  <c r="G395" s="1"/>
  <c r="G397" s="1"/>
  <c r="I370"/>
  <c r="I395" s="1"/>
  <c r="I397" s="1"/>
  <c r="F370"/>
  <c r="F395" s="1"/>
  <c r="F397" s="1"/>
  <c r="J370"/>
  <c r="J395" s="1"/>
  <c r="J397" s="1"/>
  <c r="H395" l="1"/>
  <c r="H397" s="1"/>
  <c r="E239"/>
  <c r="I159" l="1"/>
  <c r="F159"/>
  <c r="E159"/>
  <c r="J159"/>
  <c r="L159"/>
  <c r="H159"/>
  <c r="D405" s="1"/>
  <c r="K159"/>
  <c r="G159"/>
  <c r="D6" i="9"/>
  <c r="D16" s="1"/>
  <c r="K160" i="1" l="1"/>
  <c r="G160"/>
  <c r="F160"/>
  <c r="L160"/>
  <c r="H160"/>
  <c r="I160"/>
  <c r="J160"/>
  <c r="J8" i="2" l="1"/>
  <c r="L162" i="1"/>
  <c r="I8" i="2"/>
  <c r="K162" i="1"/>
  <c r="H8" i="2"/>
  <c r="J162" i="1"/>
  <c r="G8" i="2"/>
  <c r="I162" i="1"/>
  <c r="F8" i="2"/>
  <c r="H162" i="1"/>
  <c r="E8" i="2"/>
  <c r="G162" i="1"/>
  <c r="D8" i="2"/>
  <c r="F162" i="1"/>
  <c r="G14" i="2"/>
  <c r="E14"/>
  <c r="H14"/>
  <c r="D14"/>
  <c r="I14"/>
  <c r="J14"/>
  <c r="F14"/>
  <c r="C14"/>
  <c r="K107" i="1" l="1"/>
  <c r="K123" s="1"/>
  <c r="K125" s="1"/>
  <c r="G107"/>
  <c r="G123" s="1"/>
  <c r="G125" s="1"/>
  <c r="I107"/>
  <c r="I123" s="1"/>
  <c r="I125" s="1"/>
  <c r="F107"/>
  <c r="F123" s="1"/>
  <c r="F125" s="1"/>
  <c r="J107"/>
  <c r="J123" s="1"/>
  <c r="J125" s="1"/>
  <c r="L107"/>
  <c r="L123" s="1"/>
  <c r="L125" s="1"/>
  <c r="H107"/>
  <c r="H123" l="1"/>
  <c r="H125" s="1"/>
  <c r="D7" i="2"/>
  <c r="G7"/>
  <c r="E7"/>
  <c r="J7"/>
  <c r="H7"/>
  <c r="I7"/>
  <c r="F7" l="1"/>
  <c r="J15" i="8"/>
  <c r="I15"/>
  <c r="I14"/>
  <c r="I13"/>
  <c r="H15"/>
  <c r="H14"/>
  <c r="H13"/>
  <c r="G15"/>
  <c r="G14"/>
  <c r="G13"/>
  <c r="G16" s="1"/>
  <c r="F15"/>
  <c r="F16" s="1"/>
  <c r="F14"/>
  <c r="F13"/>
  <c r="E15"/>
  <c r="E14"/>
  <c r="E13"/>
  <c r="D15"/>
  <c r="C15"/>
  <c r="D14"/>
  <c r="C14"/>
  <c r="D13"/>
  <c r="C13"/>
  <c r="J14"/>
  <c r="J13"/>
  <c r="H16" l="1"/>
  <c r="I16"/>
  <c r="J16"/>
  <c r="C16"/>
  <c r="E16"/>
  <c r="D16"/>
  <c r="H8" l="1"/>
  <c r="J7"/>
  <c r="I7"/>
  <c r="H7"/>
  <c r="G7"/>
  <c r="F7"/>
  <c r="E7"/>
  <c r="D7"/>
  <c r="C7"/>
  <c r="J6"/>
  <c r="I6"/>
  <c r="H6"/>
  <c r="G6"/>
  <c r="F6"/>
  <c r="E6"/>
  <c r="D6"/>
  <c r="C6"/>
  <c r="J5"/>
  <c r="J8" s="1"/>
  <c r="I5"/>
  <c r="I8" s="1"/>
  <c r="H5"/>
  <c r="G5"/>
  <c r="G8" s="1"/>
  <c r="F5"/>
  <c r="F8" s="1"/>
  <c r="E5"/>
  <c r="E8" s="1"/>
  <c r="D5"/>
  <c r="D8" s="1"/>
  <c r="C5"/>
  <c r="C8" s="1"/>
  <c r="C9" i="2" l="1"/>
  <c r="F342" i="1"/>
  <c r="F356" s="1"/>
  <c r="F358" s="1"/>
  <c r="G342"/>
  <c r="G356" s="1"/>
  <c r="G358" s="1"/>
  <c r="H342"/>
  <c r="H356" s="1"/>
  <c r="H358" s="1"/>
  <c r="I342"/>
  <c r="I356" s="1"/>
  <c r="I358" s="1"/>
  <c r="J342"/>
  <c r="J356" s="1"/>
  <c r="J358" s="1"/>
  <c r="K342"/>
  <c r="K356" s="1"/>
  <c r="K358" s="1"/>
  <c r="L342"/>
  <c r="L356" s="1"/>
  <c r="L358" s="1"/>
  <c r="F303"/>
  <c r="G303"/>
  <c r="H303"/>
  <c r="D403" s="1"/>
  <c r="I303"/>
  <c r="J303"/>
  <c r="K303"/>
  <c r="L303"/>
  <c r="F291"/>
  <c r="G291"/>
  <c r="H291"/>
  <c r="I291"/>
  <c r="J291"/>
  <c r="K291"/>
  <c r="L291"/>
  <c r="F250"/>
  <c r="G250"/>
  <c r="H250"/>
  <c r="I250"/>
  <c r="J250"/>
  <c r="K250"/>
  <c r="L250"/>
  <c r="D9" i="2"/>
  <c r="E9"/>
  <c r="F9"/>
  <c r="G9"/>
  <c r="H9"/>
  <c r="I9"/>
  <c r="J9"/>
  <c r="D277" i="1" l="1"/>
  <c r="E11" i="9"/>
  <c r="I317" i="1"/>
  <c r="I319" s="1"/>
  <c r="F317"/>
  <c r="F319" s="1"/>
  <c r="J317"/>
  <c r="J319" s="1"/>
  <c r="L317"/>
  <c r="L319" s="1"/>
  <c r="H317"/>
  <c r="H319" s="1"/>
  <c r="K317"/>
  <c r="K319" s="1"/>
  <c r="G317"/>
  <c r="G319" s="1"/>
  <c r="K211"/>
  <c r="K237" s="1"/>
  <c r="K239" s="1"/>
  <c r="G211"/>
  <c r="G237" s="1"/>
  <c r="G239" s="1"/>
  <c r="I211"/>
  <c r="I237" s="1"/>
  <c r="I239" s="1"/>
  <c r="F211"/>
  <c r="F237" s="1"/>
  <c r="F239" s="1"/>
  <c r="J211"/>
  <c r="J237" s="1"/>
  <c r="J239" s="1"/>
  <c r="L211"/>
  <c r="L237" s="1"/>
  <c r="L239" s="1"/>
  <c r="H211"/>
  <c r="H237" s="1"/>
  <c r="H239" s="1"/>
  <c r="E160"/>
  <c r="E6" i="9"/>
  <c r="H13" i="2"/>
  <c r="J13"/>
  <c r="F13"/>
  <c r="I13"/>
  <c r="E13"/>
  <c r="G13"/>
  <c r="D13"/>
  <c r="L41" i="1"/>
  <c r="H41"/>
  <c r="C5" i="2"/>
  <c r="K41" i="1"/>
  <c r="I41"/>
  <c r="F41"/>
  <c r="G41"/>
  <c r="J41"/>
  <c r="D401" l="1"/>
  <c r="C8" i="2"/>
  <c r="E162" i="1"/>
  <c r="J5" i="2"/>
  <c r="L43" i="1"/>
  <c r="I5" i="2"/>
  <c r="K43" i="1"/>
  <c r="H5" i="2"/>
  <c r="J43" i="1"/>
  <c r="G5" i="2"/>
  <c r="I43" i="1"/>
  <c r="F5" i="2"/>
  <c r="H43" i="1"/>
  <c r="E5" i="2"/>
  <c r="G43" i="1"/>
  <c r="D5" i="2"/>
  <c r="F43" i="1"/>
  <c r="E16" i="9"/>
  <c r="E10" i="2"/>
  <c r="I10"/>
  <c r="F10"/>
  <c r="G10"/>
  <c r="J10"/>
  <c r="H10"/>
  <c r="D10"/>
  <c r="C6" l="1"/>
  <c r="C10" l="1"/>
  <c r="C13" l="1"/>
  <c r="F81" i="1" l="1"/>
  <c r="G81"/>
  <c r="H81"/>
  <c r="I81"/>
  <c r="J81"/>
  <c r="K81"/>
  <c r="L81"/>
  <c r="C11" i="2" l="1"/>
  <c r="E279" i="1"/>
  <c r="J6" i="2"/>
  <c r="L83" i="1"/>
  <c r="I6" i="2"/>
  <c r="K83" i="1"/>
  <c r="H6" i="2"/>
  <c r="J83" i="1"/>
  <c r="G6" i="2"/>
  <c r="I83" i="1"/>
  <c r="F6" i="2"/>
  <c r="H83" i="1"/>
  <c r="E6" i="2"/>
  <c r="G83" i="1"/>
  <c r="D6" i="2"/>
  <c r="F83" i="1"/>
  <c r="G277"/>
  <c r="L277"/>
  <c r="I277"/>
  <c r="K277"/>
  <c r="J277"/>
  <c r="H277"/>
  <c r="F277"/>
  <c r="D11" i="2" l="1"/>
  <c r="F279" i="1"/>
  <c r="F11" i="2"/>
  <c r="H279" i="1"/>
  <c r="J11" i="2"/>
  <c r="L279" i="1"/>
  <c r="I11" i="2"/>
  <c r="K279" i="1"/>
  <c r="G11" i="2"/>
  <c r="I279" i="1"/>
  <c r="H11" i="2"/>
  <c r="J279" i="1"/>
  <c r="E11" i="2"/>
  <c r="G279" i="1"/>
  <c r="C12" i="2"/>
  <c r="E123" i="1"/>
  <c r="E125" s="1"/>
  <c r="C7" i="2" l="1"/>
  <c r="F12" l="1"/>
  <c r="J12"/>
  <c r="E12"/>
  <c r="D12"/>
  <c r="G12"/>
  <c r="I12"/>
  <c r="H12"/>
  <c r="I15" l="1"/>
  <c r="G15"/>
  <c r="D15"/>
  <c r="N6" s="1"/>
  <c r="N7" s="1"/>
  <c r="E15"/>
  <c r="O6" s="1"/>
  <c r="O7" s="1"/>
  <c r="J15"/>
  <c r="H15"/>
  <c r="F15" l="1"/>
  <c r="P6" s="1"/>
  <c r="P7" s="1"/>
  <c r="C15"/>
  <c r="M6" l="1"/>
  <c r="M7" s="1"/>
</calcChain>
</file>

<file path=xl/sharedStrings.xml><?xml version="1.0" encoding="utf-8"?>
<sst xmlns="http://schemas.openxmlformats.org/spreadsheetml/2006/main" count="843" uniqueCount="364">
  <si>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</si>
  <si>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</si>
  <si>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</si>
  <si>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</si>
  <si>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</si>
  <si>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Минеральные вещества, (мг)</t>
  </si>
  <si>
    <t>Б</t>
  </si>
  <si>
    <t>Ж</t>
  </si>
  <si>
    <t>У</t>
  </si>
  <si>
    <t>С</t>
  </si>
  <si>
    <t>Ca</t>
  </si>
  <si>
    <t>Mg</t>
  </si>
  <si>
    <t>Fe</t>
  </si>
  <si>
    <t>Завтрак</t>
  </si>
  <si>
    <t>Итого</t>
  </si>
  <si>
    <t>Обед</t>
  </si>
  <si>
    <t>Хлеб ржано-пшеничный</t>
  </si>
  <si>
    <t>Итого за 1 день</t>
  </si>
  <si>
    <t>Итого за 2 день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</si>
  <si>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</si>
  <si>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</si>
  <si>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</si>
  <si>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</si>
  <si>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</si>
  <si>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</si>
  <si>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</si>
  <si>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</si>
  <si>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</si>
  <si>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</si>
  <si>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t>Всего за 10 дней</t>
  </si>
  <si>
    <t>Сводная таблица о потреблении  пищевых веществ и энергии обучающихся образовательных учреждений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</si>
  <si>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</si>
  <si>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</si>
  <si>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</si>
  <si>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</si>
  <si>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</si>
  <si>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</si>
  <si>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</si>
  <si>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</si>
  <si>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</si>
  <si>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Компот из свежих плодов (яблок)</t>
  </si>
  <si>
    <t>Пюре картофельное</t>
  </si>
  <si>
    <t>Какао с молоком</t>
  </si>
  <si>
    <t>Среднесуточный набор пищевых продуктов за 10 дней</t>
  </si>
  <si>
    <t>к СанПиН2.3/2.4.3590-20</t>
  </si>
  <si>
    <t>№п/п</t>
  </si>
  <si>
    <t>Наименование продуктов</t>
  </si>
  <si>
    <t>Среднесуточные нормы</t>
  </si>
  <si>
    <t>Норма за 10 дней</t>
  </si>
  <si>
    <t>%</t>
  </si>
  <si>
    <t>Недостаток, г</t>
  </si>
  <si>
    <t>Избыток, г</t>
  </si>
  <si>
    <t>Мука пшеничная</t>
  </si>
  <si>
    <t>Крупы, бобовые</t>
  </si>
  <si>
    <t>Макаронные изделия</t>
  </si>
  <si>
    <t>Картофель</t>
  </si>
  <si>
    <t>Овощи свежие, зелень</t>
  </si>
  <si>
    <t>Фрукты (плоды) свежие</t>
  </si>
  <si>
    <t xml:space="preserve">Соки плодоовощные, напитки витаминизированные </t>
  </si>
  <si>
    <t>Мясо жилованное 1 кат. (нетто)</t>
  </si>
  <si>
    <t>Цыплята 1 кат. (нетто)</t>
  </si>
  <si>
    <t>Рыба-филе (нетто)</t>
  </si>
  <si>
    <t>Сыр</t>
  </si>
  <si>
    <t>Масло сливочное</t>
  </si>
  <si>
    <t>Масло растительное</t>
  </si>
  <si>
    <t>Яйцо</t>
  </si>
  <si>
    <t>Сахар</t>
  </si>
  <si>
    <t>Кондитерские изделия</t>
  </si>
  <si>
    <t>Чай</t>
  </si>
  <si>
    <t>Дрожжи хлебопекарные</t>
  </si>
  <si>
    <t>Соль</t>
  </si>
  <si>
    <t>Получено фактически</t>
  </si>
  <si>
    <t>Среднее значение по группе:</t>
  </si>
  <si>
    <t>Библиография</t>
  </si>
  <si>
    <t>__________________________________________________________________________________________________</t>
  </si>
  <si>
    <t>Пояснение</t>
  </si>
  <si>
    <t>Суп картофельный с мясными фрикадельками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</si>
  <si>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</si>
  <si>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</si>
  <si>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</si>
  <si>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</si>
  <si>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</si>
  <si>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</si>
  <si>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</si>
  <si>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</si>
  <si>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</si>
  <si>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</si>
  <si>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</si>
  <si>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</si>
  <si>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</si>
  <si>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</si>
  <si>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</si>
  <si>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</si>
  <si>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</si>
  <si>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</si>
  <si>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</si>
  <si>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</si>
  <si>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r>
      <t>День:</t>
    </r>
    <r>
      <rPr>
        <sz val="12"/>
        <color theme="1"/>
        <rFont val="Times New Roman"/>
        <family val="1"/>
        <charset val="204"/>
      </rPr>
      <t xml:space="preserve"> первый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</si>
  <si>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</si>
  <si>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 xml:space="preserve">День: </t>
    </r>
    <r>
      <rPr>
        <sz val="12"/>
        <color theme="1"/>
        <rFont val="Times New Roman"/>
        <family val="1"/>
        <charset val="204"/>
      </rPr>
      <t>второй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</si>
  <si>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третий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</si>
  <si>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четвертый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</si>
  <si>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пятый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</si>
  <si>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шестой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</si>
  <si>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</si>
  <si>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r>
      <t>День:</t>
    </r>
    <r>
      <rPr>
        <sz val="12"/>
        <color theme="1"/>
        <rFont val="Times New Roman"/>
        <family val="1"/>
        <charset val="204"/>
      </rPr>
      <t xml:space="preserve"> седьмой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</si>
  <si>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восьмой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</si>
  <si>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девятый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</si>
  <si>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десятый</t>
    </r>
  </si>
  <si>
    <t>Среднесуточная норма (нетто, г) 100 % (завтрак, второй завтрак, обед, полдник, ужин)</t>
  </si>
  <si>
    <t>Молоко, молочная и кисломолочная продукция</t>
  </si>
  <si>
    <t>Творог 5%-9%</t>
  </si>
  <si>
    <t>Сметана</t>
  </si>
  <si>
    <t>Крахмал</t>
  </si>
  <si>
    <t>Какао-порошок</t>
  </si>
  <si>
    <t xml:space="preserve">Суммарный объем блюд по приемам пищи в соответствии с СанПиН 2.3/2.4.3590-20 </t>
  </si>
  <si>
    <t>Дни недели</t>
  </si>
  <si>
    <t>Второй завтрак</t>
  </si>
  <si>
    <r>
      <t> </t>
    </r>
    <r>
      <rPr>
        <b/>
        <sz val="14"/>
        <color rgb="FF000000"/>
        <rFont val="Times New Roman"/>
        <family val="1"/>
        <charset val="204"/>
      </rPr>
      <t xml:space="preserve">Показатели нормы </t>
    </r>
  </si>
  <si>
    <t>Среднее за 10 дней</t>
  </si>
  <si>
    <t>Ужин</t>
  </si>
  <si>
    <t>Полдник</t>
  </si>
  <si>
    <t>* При приготовлении блюд используются овощи и фрукты урожая 2022-2023гг. После 1  марта допускается использовать только после термической обработки.</t>
  </si>
  <si>
    <t>Сдоба обыкновенная</t>
  </si>
  <si>
    <t xml:space="preserve">Бутерброды с сыром </t>
  </si>
  <si>
    <t>Витамин С, мг</t>
  </si>
  <si>
    <t>Субпродукты(печень, язык, сердце)</t>
  </si>
  <si>
    <t>Кофейный напиток</t>
  </si>
  <si>
    <t>Бутерброл с маслом и сыром</t>
  </si>
  <si>
    <t>30\5\15</t>
  </si>
  <si>
    <t>Плоды свежие (яблоки)</t>
  </si>
  <si>
    <t>Салат из белокочанной капусты</t>
  </si>
  <si>
    <t>Салат из свежих помидоров и огурцов*</t>
  </si>
  <si>
    <t>Суп крестьянский с крупой(пшено)</t>
  </si>
  <si>
    <t xml:space="preserve">Плов из птицы </t>
  </si>
  <si>
    <t>Компот из сушеных фруктов</t>
  </si>
  <si>
    <t xml:space="preserve">Батон нарезной </t>
  </si>
  <si>
    <t xml:space="preserve">Оладьи </t>
  </si>
  <si>
    <t>Соус молочный сладкий</t>
  </si>
  <si>
    <t>Молоко кипяченое</t>
  </si>
  <si>
    <t>Зразы рыбные с яйцом</t>
  </si>
  <si>
    <t>Рагу из овощей с кашей</t>
  </si>
  <si>
    <t>98[2]</t>
  </si>
  <si>
    <t>2[3]</t>
  </si>
  <si>
    <t>77[3]</t>
  </si>
  <si>
    <t>21[1]</t>
  </si>
  <si>
    <t>15[1]</t>
  </si>
  <si>
    <t>321[1]</t>
  </si>
  <si>
    <t>432[1]</t>
  </si>
  <si>
    <t>394[1]</t>
  </si>
  <si>
    <t>419[1]</t>
  </si>
  <si>
    <t>113[4]</t>
  </si>
  <si>
    <t>281[1]</t>
  </si>
  <si>
    <t>144[2]</t>
  </si>
  <si>
    <t>199[1]</t>
  </si>
  <si>
    <t>229[1]</t>
  </si>
  <si>
    <t>Бутерброды с маслом</t>
  </si>
  <si>
    <t>15\5</t>
  </si>
  <si>
    <t>Батон нарезной</t>
  </si>
  <si>
    <t>Кофейный напиток с молоком</t>
  </si>
  <si>
    <t>1[1]</t>
  </si>
  <si>
    <t>414[1]</t>
  </si>
  <si>
    <t>Соки овощные, фруктовые, ягодные (яблочный)</t>
  </si>
  <si>
    <t>418[1]</t>
  </si>
  <si>
    <t>Cалат из свеклы с сыром</t>
  </si>
  <si>
    <t>32[1]</t>
  </si>
  <si>
    <t>Суп картофельный с крупой (крупа гречневая)</t>
  </si>
  <si>
    <t>86[1]</t>
  </si>
  <si>
    <t>c птицей отварной (бройлер-цыпленок)</t>
  </si>
  <si>
    <t>317[1]</t>
  </si>
  <si>
    <t>299[1]</t>
  </si>
  <si>
    <t>Котлеты рубленые из свинины</t>
  </si>
  <si>
    <t xml:space="preserve">Макаронные изделия отварные </t>
  </si>
  <si>
    <t>335[1]</t>
  </si>
  <si>
    <t>Сырники из творога(запеченные)</t>
  </si>
  <si>
    <t>245[1]</t>
  </si>
  <si>
    <t xml:space="preserve">Соус сметанный сладкий </t>
  </si>
  <si>
    <t>115[4]</t>
  </si>
  <si>
    <t>Котлеты рыбные запеченные (минтай)</t>
  </si>
  <si>
    <t>271[1]</t>
  </si>
  <si>
    <t>Картофель в молоке</t>
  </si>
  <si>
    <t xml:space="preserve">Капуста тушеная </t>
  </si>
  <si>
    <t>137[1]</t>
  </si>
  <si>
    <t>354[1]</t>
  </si>
  <si>
    <t>293[3]</t>
  </si>
  <si>
    <t>Каша жидкая молочная пшенная, с маслом сливочным</t>
  </si>
  <si>
    <t>68[4]</t>
  </si>
  <si>
    <t>Сыр (порциями, российский)</t>
  </si>
  <si>
    <t>7[1]</t>
  </si>
  <si>
    <t>416[1]</t>
  </si>
  <si>
    <t>Салат из свежих огурцов*</t>
  </si>
  <si>
    <t>13[1]</t>
  </si>
  <si>
    <t>189/129[1]</t>
  </si>
  <si>
    <t>Голубцы ленивые с соусом сметанным с томатом</t>
  </si>
  <si>
    <t>315[1]</t>
  </si>
  <si>
    <t>300(3)</t>
  </si>
  <si>
    <t>Печенье</t>
  </si>
  <si>
    <t>Икра кабачковая для детского питания</t>
  </si>
  <si>
    <t>57[1]</t>
  </si>
  <si>
    <t>Запеканка картофельная с мясом(свинина), со сметаной</t>
  </si>
  <si>
    <t xml:space="preserve">Чай с сахаром </t>
  </si>
  <si>
    <t>308[1]</t>
  </si>
  <si>
    <t>132[4]</t>
  </si>
  <si>
    <t>Каша жидкая молочная из овсяных хлопьев Геркулес, с маслом сливочным</t>
  </si>
  <si>
    <t>67[4]</t>
  </si>
  <si>
    <t>Чай с молоком</t>
  </si>
  <si>
    <t>413[1]</t>
  </si>
  <si>
    <t>Борщ с картофелем (со сметаной т/о)</t>
  </si>
  <si>
    <t>62[1]</t>
  </si>
  <si>
    <t>Котлеты рубленные из кур, запеченные с соусом молочным</t>
  </si>
  <si>
    <t>324[1]</t>
  </si>
  <si>
    <t>Каша вязкая (рисовая)</t>
  </si>
  <si>
    <t>182[1]</t>
  </si>
  <si>
    <t>Суфле из рыбы(минтай)</t>
  </si>
  <si>
    <t>284[1]</t>
  </si>
  <si>
    <t>Пюре овощное</t>
  </si>
  <si>
    <t>174[3]</t>
  </si>
  <si>
    <t>Салат из моркови</t>
  </si>
  <si>
    <t>19[4]</t>
  </si>
  <si>
    <t>Каша жидкая молочная гречневая, с маслом сливочным</t>
  </si>
  <si>
    <t>64[4]</t>
  </si>
  <si>
    <t>3[3]</t>
  </si>
  <si>
    <t>Суп картофельный с лапшой домашней(на бульоне из птицы)</t>
  </si>
  <si>
    <t>88\60[1]</t>
  </si>
  <si>
    <t xml:space="preserve">Шницель рубленый из свинины </t>
  </si>
  <si>
    <t xml:space="preserve">Икра морковная </t>
  </si>
  <si>
    <t>55[1]</t>
  </si>
  <si>
    <t>Вареники ленивые отварные</t>
  </si>
  <si>
    <t>Каша  жидкая молочная рисовая, с маслом сливочным</t>
  </si>
  <si>
    <t>Омлет с морковью</t>
  </si>
  <si>
    <t>197[4]</t>
  </si>
  <si>
    <t>231[1]</t>
  </si>
  <si>
    <t>Икра свекольная</t>
  </si>
  <si>
    <t>Щи из свежей капусты с картофелем, со сметаной</t>
  </si>
  <si>
    <t>73[1]</t>
  </si>
  <si>
    <t>Жаркое по-домашнему из говядины</t>
  </si>
  <si>
    <t>292[1]</t>
  </si>
  <si>
    <t>Ватрушка с фаршем творожным</t>
  </si>
  <si>
    <t>441[1]</t>
  </si>
  <si>
    <t>Шницель рыбный натуральный (минтай)</t>
  </si>
  <si>
    <t>274[1]</t>
  </si>
  <si>
    <t>339[1]</t>
  </si>
  <si>
    <t>Масло порциями</t>
  </si>
  <si>
    <t>6[1]</t>
  </si>
  <si>
    <t>124[3]</t>
  </si>
  <si>
    <t xml:space="preserve">Оладьи из печени по-кунцевски </t>
  </si>
  <si>
    <t>Кефир с сахаром</t>
  </si>
  <si>
    <t>Молоко кипяченое*</t>
  </si>
  <si>
    <t>Котлеты рубленые из птицы( бройлер-цыпленок)</t>
  </si>
  <si>
    <t>322[1]</t>
  </si>
  <si>
    <t>244[1]</t>
  </si>
  <si>
    <t>Птица, тушеная в соусе с овощами</t>
  </si>
  <si>
    <t>319[1]</t>
  </si>
  <si>
    <t>Салат из свежих помидоров с луком*</t>
  </si>
  <si>
    <t>14[1]</t>
  </si>
  <si>
    <t>Салат из свеклы</t>
  </si>
  <si>
    <t>34[1]</t>
  </si>
  <si>
    <t>Котлеты рубленые из говядины</t>
  </si>
  <si>
    <t>449[1]</t>
  </si>
  <si>
    <t>Омлет с сыром</t>
  </si>
  <si>
    <t>230[1]</t>
  </si>
  <si>
    <t>Суп картофельный с рыбными фрикадельками</t>
  </si>
  <si>
    <t>90\132[1]</t>
  </si>
  <si>
    <t>Биточки рубленые из птицы(бройлер-цыпленок)</t>
  </si>
  <si>
    <t>Суфле творожное</t>
  </si>
  <si>
    <t>82[4]</t>
  </si>
  <si>
    <t>1.Сборник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</t>
  </si>
  <si>
    <t>2.Сборник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2017. – 544 с.</t>
  </si>
  <si>
    <t xml:space="preserve">3.Сборник технологических карт, рецептур блюд кулинарных изделий для детского питания. – Уфа: ООО Фирма «Партнер» (части 1 и 2), 2015 </t>
  </si>
  <si>
    <t>5. Справочник «Химический состав российских пищевых продуктов»/ Под ред. И. М. Скурихина, В. А. Тутельяна. – М. : ДеЛи принт, 2002. – 236 с.</t>
  </si>
  <si>
    <t xml:space="preserve">4.Организация питания в дошкольных образовательных учреждениях. – М, 2007 </t>
  </si>
  <si>
    <t xml:space="preserve">*- Блюда в весенне-летний период </t>
  </si>
  <si>
    <t>Норма</t>
  </si>
  <si>
    <t>Отклонения</t>
  </si>
  <si>
    <t>80\5</t>
  </si>
  <si>
    <t>Омлет натуральный с маслом сливочным</t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</si>
  <si>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1-3 года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</si>
  <si>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 1-3 года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</si>
  <si>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1 -3 года</t>
    </r>
  </si>
  <si>
    <t>150\5</t>
  </si>
  <si>
    <t>160\5</t>
  </si>
  <si>
    <t>Чай с сахаром</t>
  </si>
  <si>
    <t>200\20</t>
  </si>
  <si>
    <t>120\15</t>
  </si>
  <si>
    <t>Каша жидкая (пшеничная )</t>
  </si>
  <si>
    <t>242[1]</t>
  </si>
  <si>
    <t>60\5</t>
  </si>
  <si>
    <t>200/10</t>
  </si>
  <si>
    <t>437\494[1]</t>
  </si>
  <si>
    <t>Пирожки печеные из дрожжевого теста(фарш мясной с луком)</t>
  </si>
  <si>
    <t>Омлет со сметаной (драчена)</t>
  </si>
  <si>
    <t>30\10</t>
  </si>
  <si>
    <t>200\10</t>
  </si>
  <si>
    <t>Суп молочный с макаронными изделиями</t>
  </si>
  <si>
    <t>60\110</t>
  </si>
  <si>
    <t>Суп картофельный с клецками</t>
  </si>
  <si>
    <t>91\128[1]</t>
  </si>
  <si>
    <t>Фрикадельки мясные из свинины с соусом</t>
  </si>
  <si>
    <t>60\25</t>
  </si>
  <si>
    <t>101[3]</t>
  </si>
  <si>
    <t>Суп молочный с крупой (кукурузная)</t>
  </si>
  <si>
    <t>121[1]</t>
  </si>
  <si>
    <t>Рыба, тушеная с овощами</t>
  </si>
  <si>
    <t>70\30</t>
  </si>
  <si>
    <t>261[1]</t>
  </si>
  <si>
    <t>Завтрак(20,62%)</t>
  </si>
  <si>
    <t>Завтрак 2(9,81%)</t>
  </si>
  <si>
    <t>Обед(30,54%)</t>
  </si>
  <si>
    <t>Полдник(16,2%)</t>
  </si>
  <si>
    <t>Ужин (22,83%)</t>
  </si>
  <si>
    <t>Завтрак(19,2%)</t>
  </si>
  <si>
    <t>Завтрак  2 (8,47%)</t>
  </si>
  <si>
    <t>Обед (38,98%)</t>
  </si>
  <si>
    <t>Полдник (12,9%)</t>
  </si>
  <si>
    <t>Ужин (20,33%)</t>
  </si>
  <si>
    <t>Завтрак(20,53%)</t>
  </si>
  <si>
    <t>2 завтрак(7,89%)</t>
  </si>
  <si>
    <t>Обед (33,16%)</t>
  </si>
  <si>
    <t>Полдник (10,79%)</t>
  </si>
  <si>
    <t>Ужин(27,63%)</t>
  </si>
  <si>
    <t>Завтрак(19,94%)</t>
  </si>
  <si>
    <t>2 завтрак(6,93%)</t>
  </si>
  <si>
    <t>Обед(35,26%)</t>
  </si>
  <si>
    <t xml:space="preserve">  Полдник(13,29%)</t>
  </si>
  <si>
    <t>Ужин(24,57%)</t>
  </si>
  <si>
    <t>Завтрак(20,73%)</t>
  </si>
  <si>
    <t>Завтрак 2(7,87%)</t>
  </si>
  <si>
    <t>Обед(33,33%)</t>
  </si>
  <si>
    <t xml:space="preserve">  Полдник(13,12%)</t>
  </si>
  <si>
    <t>Ужин (24,93%)</t>
  </si>
  <si>
    <t>2 завтрак(8,56%)</t>
  </si>
  <si>
    <t>Обед(35,33%)</t>
  </si>
  <si>
    <t>Полдник(15,95%)</t>
  </si>
  <si>
    <t>Ужин(20,23%)</t>
  </si>
  <si>
    <t>Завтрак(18,72%)</t>
  </si>
  <si>
    <t>2 завтрак(6,7%)</t>
  </si>
  <si>
    <t>Обед(34,1%)</t>
  </si>
  <si>
    <t>Полдник(12,85%)</t>
  </si>
  <si>
    <t>Ужин(27,65%)</t>
  </si>
  <si>
    <t>Завтрак (23,12%)</t>
  </si>
  <si>
    <t>2 завтрак (8,36%)</t>
  </si>
  <si>
    <t>Обед (33,7%)</t>
  </si>
  <si>
    <t>Полдник (11,42%)</t>
  </si>
  <si>
    <t>Ужин (22,39%)</t>
  </si>
  <si>
    <t>Завтрак (18,78%)</t>
  </si>
  <si>
    <t>2 завтрак (6,63%)</t>
  </si>
  <si>
    <t>Обед (34,81%)</t>
  </si>
  <si>
    <t>Полдник (13,81%)</t>
  </si>
  <si>
    <t>Ужин (25,97%)</t>
  </si>
  <si>
    <t>Завтрак (23,14%)</t>
  </si>
  <si>
    <t>2 завтрак (8,57%)</t>
  </si>
  <si>
    <t>Обед 36%)</t>
  </si>
  <si>
    <t>Ужин (19,14%)</t>
  </si>
  <si>
    <t>Хлеб пшеничный(батон)</t>
  </si>
  <si>
    <t>Фрукты (плоды) сухие</t>
  </si>
  <si>
    <t>386[1]</t>
  </si>
  <si>
    <t xml:space="preserve">  Полдник (12,13%)</t>
  </si>
  <si>
    <t xml:space="preserve">Кисель на плодовом или ягодном  экстрактах </t>
  </si>
  <si>
    <t xml:space="preserve">Кисель  на плодовом или ягодном  экстрактах </t>
  </si>
  <si>
    <t>Каша жидкая молочная из манной крупы, с маслом сливочным</t>
  </si>
  <si>
    <t>181[2]</t>
  </si>
  <si>
    <t xml:space="preserve">завтрак </t>
  </si>
  <si>
    <t>2 завтрак</t>
  </si>
  <si>
    <t>ужин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</si>
</sst>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2" fontId="6" fillId="0" borderId="0" xfId="0" applyNumberFormat="1" applyFont="1"/>
    <xf numFmtId="2" fontId="3" fillId="0" borderId="9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wrapText="1"/>
    </xf>
    <xf numFmtId="2" fontId="5" fillId="0" borderId="7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wrapText="1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/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2" fontId="5" fillId="0" borderId="14" xfId="0" applyNumberFormat="1" applyFont="1" applyBorder="1" applyAlignment="1">
      <alignment horizontal="center" wrapText="1"/>
    </xf>
    <xf numFmtId="2" fontId="5" fillId="0" borderId="14" xfId="0" applyNumberFormat="1" applyFont="1" applyBorder="1" applyAlignment="1">
      <alignment horizontal="center" vertical="top" wrapText="1"/>
    </xf>
    <xf numFmtId="1" fontId="5" fillId="0" borderId="14" xfId="0" applyNumberFormat="1" applyFont="1" applyBorder="1" applyAlignment="1">
      <alignment horizontal="center" vertical="top" wrapText="1"/>
    </xf>
    <xf numFmtId="2" fontId="4" fillId="0" borderId="14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vertical="top" wrapText="1"/>
    </xf>
    <xf numFmtId="2" fontId="13" fillId="0" borderId="14" xfId="0" applyNumberFormat="1" applyFont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15" fillId="2" borderId="1" xfId="0" applyNumberFormat="1" applyFont="1" applyFill="1" applyBorder="1" applyAlignment="1">
      <alignment horizontal="left" vertical="center" wrapText="1"/>
    </xf>
    <xf numFmtId="0" fontId="6" fillId="0" borderId="0" xfId="0" applyFont="1"/>
    <xf numFmtId="10" fontId="6" fillId="0" borderId="0" xfId="0" applyNumberFormat="1" applyFont="1"/>
    <xf numFmtId="0" fontId="5" fillId="0" borderId="14" xfId="0" applyFont="1" applyBorder="1"/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6" fontId="6" fillId="0" borderId="0" xfId="0" applyNumberFormat="1" applyFont="1"/>
    <xf numFmtId="0" fontId="6" fillId="0" borderId="14" xfId="0" applyFont="1" applyBorder="1"/>
    <xf numFmtId="0" fontId="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2" fontId="16" fillId="2" borderId="0" xfId="0" applyNumberFormat="1" applyFont="1" applyFill="1"/>
    <xf numFmtId="2" fontId="3" fillId="0" borderId="0" xfId="0" applyNumberFormat="1" applyFont="1" applyAlignment="1">
      <alignment vertical="center"/>
    </xf>
    <xf numFmtId="2" fontId="15" fillId="2" borderId="0" xfId="0" applyNumberFormat="1" applyFont="1" applyFill="1"/>
    <xf numFmtId="1" fontId="16" fillId="2" borderId="0" xfId="0" applyNumberFormat="1" applyFont="1" applyFill="1"/>
    <xf numFmtId="2" fontId="16" fillId="2" borderId="0" xfId="0" applyNumberFormat="1" applyFont="1" applyFill="1" applyAlignment="1">
      <alignment horizontal="center" vertical="center"/>
    </xf>
    <xf numFmtId="2" fontId="16" fillId="0" borderId="0" xfId="0" applyNumberFormat="1" applyFont="1" applyAlignment="1">
      <alignment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top" wrapText="1"/>
    </xf>
    <xf numFmtId="1" fontId="15" fillId="2" borderId="0" xfId="0" applyNumberFormat="1" applyFont="1" applyFill="1" applyBorder="1" applyAlignment="1">
      <alignment horizontal="center" vertical="top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15" fillId="2" borderId="17" xfId="0" applyNumberFormat="1" applyFont="1" applyFill="1" applyBorder="1" applyAlignment="1">
      <alignment horizontal="center" vertical="center" wrapText="1"/>
    </xf>
    <xf numFmtId="2" fontId="15" fillId="2" borderId="17" xfId="0" applyNumberFormat="1" applyFont="1" applyFill="1" applyBorder="1" applyAlignment="1">
      <alignment horizontal="left" vertical="center" wrapText="1"/>
    </xf>
    <xf numFmtId="1" fontId="15" fillId="2" borderId="17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wrapText="1"/>
    </xf>
    <xf numFmtId="1" fontId="16" fillId="0" borderId="0" xfId="0" applyNumberFormat="1" applyFont="1" applyAlignment="1">
      <alignment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8" fillId="2" borderId="0" xfId="0" applyFont="1" applyFill="1"/>
    <xf numFmtId="2" fontId="15" fillId="2" borderId="1" xfId="0" applyNumberFormat="1" applyFont="1" applyFill="1" applyBorder="1" applyAlignment="1">
      <alignment horizontal="left" vertical="center" wrapText="1"/>
    </xf>
    <xf numFmtId="2" fontId="16" fillId="0" borderId="0" xfId="0" applyNumberFormat="1" applyFont="1" applyAlignment="1">
      <alignment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/>
    <xf numFmtId="0" fontId="13" fillId="0" borderId="1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5" xfId="0" applyNumberFormat="1" applyFont="1" applyFill="1" applyBorder="1" applyAlignment="1">
      <alignment horizontal="center" vertical="center" wrapText="1"/>
    </xf>
    <xf numFmtId="0" fontId="16" fillId="2" borderId="5" xfId="0" applyNumberFormat="1" applyFont="1" applyFill="1" applyBorder="1" applyAlignment="1">
      <alignment horizontal="center" vertical="center" wrapText="1"/>
    </xf>
    <xf numFmtId="1" fontId="17" fillId="0" borderId="14" xfId="0" applyNumberFormat="1" applyFont="1" applyBorder="1" applyAlignment="1">
      <alignment horizontal="center" vertical="center" wrapText="1"/>
    </xf>
    <xf numFmtId="1" fontId="11" fillId="0" borderId="14" xfId="0" applyNumberFormat="1" applyFont="1" applyBorder="1" applyAlignment="1">
      <alignment horizontal="center" vertical="center" wrapText="1"/>
    </xf>
    <xf numFmtId="1" fontId="11" fillId="0" borderId="14" xfId="0" applyNumberFormat="1" applyFont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left"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vertical="top" wrapText="1"/>
    </xf>
    <xf numFmtId="2" fontId="13" fillId="2" borderId="15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top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2" fontId="20" fillId="0" borderId="0" xfId="0" applyNumberFormat="1" applyFont="1" applyAlignment="1">
      <alignment vertical="center"/>
    </xf>
    <xf numFmtId="1" fontId="15" fillId="2" borderId="2" xfId="0" applyNumberFormat="1" applyFont="1" applyFill="1" applyBorder="1" applyAlignment="1">
      <alignment horizontal="center" vertical="center" wrapText="1"/>
    </xf>
    <xf numFmtId="2" fontId="15" fillId="2" borderId="14" xfId="0" applyNumberFormat="1" applyFont="1" applyFill="1" applyBorder="1" applyAlignment="1">
      <alignment horizontal="center" vertical="center" wrapText="1"/>
    </xf>
    <xf numFmtId="1" fontId="15" fillId="2" borderId="14" xfId="0" applyNumberFormat="1" applyFont="1" applyFill="1" applyBorder="1" applyAlignment="1">
      <alignment horizontal="center" vertical="center" wrapText="1"/>
    </xf>
    <xf numFmtId="2" fontId="15" fillId="2" borderId="24" xfId="0" applyNumberFormat="1" applyFont="1" applyFill="1" applyBorder="1" applyAlignment="1">
      <alignment horizontal="center" vertical="center" wrapText="1"/>
    </xf>
    <xf numFmtId="1" fontId="15" fillId="2" borderId="24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18" xfId="0" applyNumberFormat="1" applyFont="1" applyFill="1" applyBorder="1" applyAlignment="1">
      <alignment horizontal="center" vertical="center" wrapText="1"/>
    </xf>
    <xf numFmtId="2" fontId="15" fillId="2" borderId="22" xfId="0" applyNumberFormat="1" applyFont="1" applyFill="1" applyBorder="1" applyAlignment="1">
      <alignment horizontal="center" vertical="center" wrapText="1"/>
    </xf>
    <xf numFmtId="2" fontId="15" fillId="2" borderId="4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1" fontId="15" fillId="2" borderId="2" xfId="0" applyNumberFormat="1" applyFont="1" applyFill="1" applyBorder="1" applyAlignment="1">
      <alignment horizontal="center" wrapText="1"/>
    </xf>
    <xf numFmtId="1" fontId="15" fillId="2" borderId="3" xfId="0" applyNumberFormat="1" applyFont="1" applyFill="1" applyBorder="1" applyAlignment="1">
      <alignment horizont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6" xfId="0" applyNumberFormat="1" applyFont="1" applyFill="1" applyBorder="1" applyAlignment="1">
      <alignment horizontal="center" vertical="center" wrapText="1"/>
    </xf>
    <xf numFmtId="2" fontId="15" fillId="2" borderId="2" xfId="0" applyNumberFormat="1" applyFont="1" applyFill="1" applyBorder="1" applyAlignment="1">
      <alignment horizontal="center" wrapText="1"/>
    </xf>
    <xf numFmtId="2" fontId="15" fillId="2" borderId="3" xfId="0" applyNumberFormat="1" applyFont="1" applyFill="1" applyBorder="1" applyAlignment="1">
      <alignment horizontal="center" wrapText="1"/>
    </xf>
    <xf numFmtId="2" fontId="11" fillId="0" borderId="0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center" vertical="top" wrapText="1"/>
    </xf>
    <xf numFmtId="2" fontId="3" fillId="0" borderId="12" xfId="0" applyNumberFormat="1" applyFont="1" applyBorder="1" applyAlignment="1">
      <alignment horizontal="center" vertical="top" wrapText="1"/>
    </xf>
    <xf numFmtId="2" fontId="5" fillId="0" borderId="11" xfId="0" applyNumberFormat="1" applyFont="1" applyBorder="1" applyAlignment="1">
      <alignment horizontal="center" vertical="top" wrapText="1"/>
    </xf>
    <xf numFmtId="2" fontId="5" fillId="0" borderId="13" xfId="0" applyNumberFormat="1" applyFont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 vertical="top" wrapText="1"/>
    </xf>
    <xf numFmtId="2" fontId="5" fillId="0" borderId="14" xfId="0" applyNumberFormat="1" applyFont="1" applyBorder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8;&#1045;&#1061;&#1053;&#1054;&#1051;&#1054;&#1043;&#1048;\&#1052;&#1077;&#1085;&#1102;%202021-2022%204%20&#1095;&#1077;&#1090;&#1074;&#1077;&#1088;&#1090;&#1100;\&#1057;&#1072;&#1076;&#1099;\&#1089;&#1072;&#1076;%20&#1075;&#1086;&#1088;&#1086;&#1076;%203-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 100"/>
      <sheetName val="титул"/>
      <sheetName val="Лист1"/>
      <sheetName val="на выход"/>
      <sheetName val="сводки БЖУ"/>
      <sheetName val="сводки по продуктам"/>
      <sheetName val="объемы по приемам пищи"/>
      <sheetName val="библиография"/>
    </sheetNames>
    <sheetDataSet>
      <sheetData sheetId="0">
        <row r="155">
          <cell r="D155">
            <v>250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3" sqref="D23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05"/>
  <sheetViews>
    <sheetView tabSelected="1" topLeftCell="C1" zoomScale="70" zoomScaleNormal="70" zoomScaleSheetLayoutView="70" workbookViewId="0">
      <selection activeCell="F414" sqref="F414"/>
    </sheetView>
  </sheetViews>
  <sheetFormatPr defaultColWidth="9.140625" defaultRowHeight="15.75"/>
  <cols>
    <col min="1" max="1" width="0" style="40" hidden="1" customWidth="1"/>
    <col min="2" max="2" width="14.7109375" style="40" customWidth="1"/>
    <col min="3" max="3" width="80.42578125" style="40" customWidth="1"/>
    <col min="4" max="4" width="15.7109375" style="60" customWidth="1"/>
    <col min="5" max="5" width="11.28515625" style="40" customWidth="1"/>
    <col min="6" max="6" width="8.85546875" style="40" customWidth="1"/>
    <col min="7" max="7" width="11.85546875" style="40" customWidth="1"/>
    <col min="8" max="8" width="35.42578125" style="40" customWidth="1"/>
    <col min="9" max="9" width="14.42578125" style="40" customWidth="1"/>
    <col min="10" max="10" width="10.28515625" style="40" customWidth="1"/>
    <col min="11" max="11" width="10.7109375" style="40" customWidth="1"/>
    <col min="12" max="12" width="7.85546875" style="40" customWidth="1"/>
    <col min="13" max="16384" width="9.140625" style="40"/>
  </cols>
  <sheetData>
    <row r="1" spans="1:12" s="35" customFormat="1">
      <c r="B1" s="36" t="s">
        <v>97</v>
      </c>
      <c r="C1" s="37"/>
      <c r="D1" s="38"/>
      <c r="E1" s="39"/>
      <c r="F1" s="39"/>
      <c r="G1" s="39"/>
      <c r="H1" s="39"/>
      <c r="I1" s="39"/>
      <c r="J1" s="39"/>
      <c r="K1" s="39"/>
      <c r="L1" s="39"/>
    </row>
    <row r="2" spans="1:12" s="35" customFormat="1">
      <c r="B2" s="36" t="s">
        <v>98</v>
      </c>
      <c r="C2" s="37"/>
      <c r="D2" s="38"/>
      <c r="E2" s="39"/>
      <c r="F2" s="39"/>
      <c r="G2" s="39"/>
      <c r="H2" s="39"/>
      <c r="I2" s="39"/>
      <c r="J2" s="39"/>
      <c r="K2" s="39"/>
      <c r="L2" s="39"/>
    </row>
    <row r="3" spans="1:12" s="35" customFormat="1">
      <c r="B3" s="36" t="s">
        <v>276</v>
      </c>
      <c r="C3" s="37"/>
      <c r="D3" s="38"/>
      <c r="E3" s="39"/>
      <c r="F3" s="39"/>
      <c r="G3" s="39"/>
      <c r="H3" s="39"/>
      <c r="I3" s="39"/>
      <c r="J3" s="39"/>
      <c r="K3" s="39"/>
      <c r="L3" s="39"/>
    </row>
    <row r="4" spans="1:12" ht="46.5" customHeight="1">
      <c r="B4" s="154" t="s">
        <v>0</v>
      </c>
      <c r="C4" s="154" t="s">
        <v>1</v>
      </c>
      <c r="D4" s="161" t="s">
        <v>2</v>
      </c>
      <c r="E4" s="154" t="s">
        <v>3</v>
      </c>
      <c r="F4" s="154"/>
      <c r="G4" s="154"/>
      <c r="H4" s="154" t="s">
        <v>4</v>
      </c>
      <c r="I4" s="121" t="s">
        <v>125</v>
      </c>
      <c r="J4" s="154" t="s">
        <v>5</v>
      </c>
      <c r="K4" s="154"/>
      <c r="L4" s="154"/>
    </row>
    <row r="5" spans="1:12" ht="27.75" customHeight="1">
      <c r="B5" s="154"/>
      <c r="C5" s="154"/>
      <c r="D5" s="161"/>
      <c r="E5" s="41" t="s">
        <v>6</v>
      </c>
      <c r="F5" s="41" t="s">
        <v>7</v>
      </c>
      <c r="G5" s="41" t="s">
        <v>8</v>
      </c>
      <c r="H5" s="154"/>
      <c r="I5" s="41" t="s">
        <v>9</v>
      </c>
      <c r="J5" s="41" t="s">
        <v>10</v>
      </c>
      <c r="K5" s="41" t="s">
        <v>11</v>
      </c>
      <c r="L5" s="41" t="s">
        <v>12</v>
      </c>
    </row>
    <row r="6" spans="1:12">
      <c r="B6" s="154" t="s">
        <v>305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</row>
    <row r="7" spans="1:12" ht="31.15" customHeight="1">
      <c r="A7" s="40">
        <v>1</v>
      </c>
      <c r="B7" s="124" t="s">
        <v>360</v>
      </c>
      <c r="C7" s="25" t="s">
        <v>359</v>
      </c>
      <c r="D7" s="42" t="s">
        <v>279</v>
      </c>
      <c r="E7" s="43">
        <v>4.59</v>
      </c>
      <c r="F7" s="43">
        <v>5.36</v>
      </c>
      <c r="G7" s="43">
        <v>24.48</v>
      </c>
      <c r="H7" s="43">
        <v>164.83</v>
      </c>
      <c r="I7" s="43">
        <v>0.88</v>
      </c>
      <c r="J7" s="43">
        <v>100.24</v>
      </c>
      <c r="K7" s="43">
        <v>15.35</v>
      </c>
      <c r="L7" s="43">
        <v>0.36</v>
      </c>
    </row>
    <row r="8" spans="1:12" ht="20.100000000000001" customHeight="1">
      <c r="A8" s="40">
        <v>1</v>
      </c>
      <c r="B8" s="124" t="s">
        <v>155</v>
      </c>
      <c r="C8" s="25" t="s">
        <v>275</v>
      </c>
      <c r="D8" s="77" t="s">
        <v>274</v>
      </c>
      <c r="E8" s="43">
        <v>7.52</v>
      </c>
      <c r="F8" s="43">
        <v>9.5</v>
      </c>
      <c r="G8" s="43">
        <v>1.51</v>
      </c>
      <c r="H8" s="43">
        <v>121</v>
      </c>
      <c r="I8" s="43">
        <v>0.15</v>
      </c>
      <c r="J8" s="43">
        <v>62.8</v>
      </c>
      <c r="K8" s="43">
        <v>10.4</v>
      </c>
      <c r="L8" s="43">
        <v>1.54</v>
      </c>
    </row>
    <row r="9" spans="1:12" s="73" customFormat="1" ht="20.100000000000001" customHeight="1">
      <c r="B9" s="123" t="s">
        <v>160</v>
      </c>
      <c r="C9" s="72" t="s">
        <v>156</v>
      </c>
      <c r="D9" s="77" t="s">
        <v>157</v>
      </c>
      <c r="E9" s="43">
        <v>1.23</v>
      </c>
      <c r="F9" s="43">
        <v>3.78</v>
      </c>
      <c r="G9" s="43">
        <v>7.31</v>
      </c>
      <c r="H9" s="43">
        <v>68</v>
      </c>
      <c r="I9" s="43">
        <v>0</v>
      </c>
      <c r="J9" s="43">
        <v>4.6500000000000004</v>
      </c>
      <c r="K9" s="43">
        <v>4.95</v>
      </c>
      <c r="L9" s="43">
        <v>0.31</v>
      </c>
    </row>
    <row r="10" spans="1:12" s="73" customFormat="1" ht="20.100000000000001" customHeight="1">
      <c r="B10" s="125"/>
      <c r="C10" s="72" t="s">
        <v>158</v>
      </c>
      <c r="D10" s="77">
        <v>10</v>
      </c>
      <c r="E10" s="43">
        <v>0.79</v>
      </c>
      <c r="F10" s="43">
        <v>0.1</v>
      </c>
      <c r="G10" s="43">
        <v>4.83</v>
      </c>
      <c r="H10" s="43">
        <v>23.5</v>
      </c>
      <c r="I10" s="43">
        <v>0</v>
      </c>
      <c r="J10" s="43">
        <v>2.2999999999999998</v>
      </c>
      <c r="K10" s="43">
        <v>3.3</v>
      </c>
      <c r="L10" s="43">
        <v>0.2</v>
      </c>
    </row>
    <row r="11" spans="1:12" s="73" customFormat="1" ht="20.100000000000001" customHeight="1">
      <c r="B11" s="125" t="s">
        <v>161</v>
      </c>
      <c r="C11" s="72" t="s">
        <v>159</v>
      </c>
      <c r="D11" s="77">
        <v>150</v>
      </c>
      <c r="E11" s="43">
        <v>3.15</v>
      </c>
      <c r="F11" s="43">
        <v>2.72</v>
      </c>
      <c r="G11" s="43">
        <v>12.96</v>
      </c>
      <c r="H11" s="43">
        <v>89</v>
      </c>
      <c r="I11" s="43">
        <v>1.2</v>
      </c>
      <c r="J11" s="43">
        <v>114.7</v>
      </c>
      <c r="K11" s="43">
        <v>16.7</v>
      </c>
      <c r="L11" s="43">
        <v>0.41</v>
      </c>
    </row>
    <row r="12" spans="1:12" ht="20.100000000000001" customHeight="1">
      <c r="A12" s="40">
        <v>1</v>
      </c>
      <c r="B12" s="68"/>
      <c r="C12" s="68" t="s">
        <v>14</v>
      </c>
      <c r="D12" s="69">
        <v>420</v>
      </c>
      <c r="E12" s="68">
        <f>E9+E8+E7+E10+E11</f>
        <v>17.279999999999998</v>
      </c>
      <c r="F12" s="125">
        <f t="shared" ref="F12:L12" si="0">F9+F8+F7+F10+F11</f>
        <v>21.46</v>
      </c>
      <c r="G12" s="125">
        <f t="shared" si="0"/>
        <v>51.089999999999996</v>
      </c>
      <c r="H12" s="125">
        <f t="shared" si="0"/>
        <v>466.33000000000004</v>
      </c>
      <c r="I12" s="125">
        <f t="shared" si="0"/>
        <v>2.23</v>
      </c>
      <c r="J12" s="125">
        <f t="shared" si="0"/>
        <v>284.69</v>
      </c>
      <c r="K12" s="125">
        <f t="shared" si="0"/>
        <v>50.7</v>
      </c>
      <c r="L12" s="125">
        <f t="shared" si="0"/>
        <v>2.8200000000000003</v>
      </c>
    </row>
    <row r="13" spans="1:12" ht="20.100000000000001" customHeight="1">
      <c r="B13" s="154" t="s">
        <v>306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</row>
    <row r="14" spans="1:12" ht="20.100000000000001" customHeight="1">
      <c r="B14" s="68" t="s">
        <v>163</v>
      </c>
      <c r="C14" s="72" t="s">
        <v>162</v>
      </c>
      <c r="D14" s="69">
        <v>200</v>
      </c>
      <c r="E14" s="43">
        <v>1</v>
      </c>
      <c r="F14" s="43">
        <v>0</v>
      </c>
      <c r="G14" s="43">
        <v>20.2</v>
      </c>
      <c r="H14" s="43">
        <v>85.3</v>
      </c>
      <c r="I14" s="43">
        <v>4</v>
      </c>
      <c r="J14" s="43">
        <v>14</v>
      </c>
      <c r="K14" s="43">
        <v>8</v>
      </c>
      <c r="L14" s="43">
        <v>2.8</v>
      </c>
    </row>
    <row r="15" spans="1:12" ht="20.100000000000001" customHeight="1">
      <c r="B15" s="41"/>
      <c r="C15" s="68" t="s">
        <v>14</v>
      </c>
      <c r="D15" s="42">
        <f>D14</f>
        <v>200</v>
      </c>
      <c r="E15" s="41">
        <f>E14</f>
        <v>1</v>
      </c>
      <c r="F15" s="123">
        <f t="shared" ref="F15:L15" si="1">F14</f>
        <v>0</v>
      </c>
      <c r="G15" s="123">
        <f t="shared" si="1"/>
        <v>20.2</v>
      </c>
      <c r="H15" s="123">
        <f t="shared" si="1"/>
        <v>85.3</v>
      </c>
      <c r="I15" s="123">
        <f t="shared" si="1"/>
        <v>4</v>
      </c>
      <c r="J15" s="123">
        <f t="shared" si="1"/>
        <v>14</v>
      </c>
      <c r="K15" s="123">
        <f t="shared" si="1"/>
        <v>8</v>
      </c>
      <c r="L15" s="123">
        <f t="shared" si="1"/>
        <v>2.8</v>
      </c>
    </row>
    <row r="16" spans="1:12" ht="15.95" customHeight="1">
      <c r="A16" s="40">
        <v>1</v>
      </c>
      <c r="B16" s="154" t="s">
        <v>307</v>
      </c>
      <c r="C16" s="154"/>
      <c r="D16" s="154"/>
      <c r="E16" s="154"/>
      <c r="F16" s="154"/>
      <c r="G16" s="154"/>
      <c r="H16" s="154"/>
      <c r="I16" s="154"/>
      <c r="J16" s="154"/>
      <c r="K16" s="154"/>
      <c r="L16" s="154"/>
    </row>
    <row r="17" spans="1:12" ht="20.100000000000001" customHeight="1">
      <c r="B17" s="124" t="s">
        <v>165</v>
      </c>
      <c r="C17" s="25" t="s">
        <v>164</v>
      </c>
      <c r="D17" s="42">
        <v>40</v>
      </c>
      <c r="E17" s="44">
        <v>1.88</v>
      </c>
      <c r="F17" s="44">
        <v>3.8</v>
      </c>
      <c r="G17" s="44">
        <v>2.85</v>
      </c>
      <c r="H17" s="44">
        <v>53.1</v>
      </c>
      <c r="I17" s="44">
        <v>3.28</v>
      </c>
      <c r="J17" s="44">
        <v>64.790000000000006</v>
      </c>
      <c r="K17" s="44">
        <v>9.23</v>
      </c>
      <c r="L17" s="44">
        <v>0.51</v>
      </c>
    </row>
    <row r="18" spans="1:12" s="73" customFormat="1" ht="20.100000000000001" customHeight="1">
      <c r="B18" s="124" t="s">
        <v>167</v>
      </c>
      <c r="C18" s="72" t="s">
        <v>166</v>
      </c>
      <c r="D18" s="119">
        <v>200</v>
      </c>
      <c r="E18" s="76">
        <v>1.74</v>
      </c>
      <c r="F18" s="76">
        <v>2.27</v>
      </c>
      <c r="G18" s="76">
        <v>11.43</v>
      </c>
      <c r="H18" s="76">
        <v>73.2</v>
      </c>
      <c r="I18" s="76">
        <v>6.6</v>
      </c>
      <c r="J18" s="76">
        <v>20.9</v>
      </c>
      <c r="K18" s="76">
        <v>22.8</v>
      </c>
      <c r="L18" s="76">
        <v>1.04</v>
      </c>
    </row>
    <row r="19" spans="1:12" s="73" customFormat="1" ht="20.100000000000001" customHeight="1">
      <c r="B19" s="118" t="s">
        <v>169</v>
      </c>
      <c r="C19" s="72" t="s">
        <v>168</v>
      </c>
      <c r="D19" s="119">
        <v>12</v>
      </c>
      <c r="E19" s="76">
        <v>2.5299999999999998</v>
      </c>
      <c r="F19" s="76">
        <v>1.23</v>
      </c>
      <c r="G19" s="76">
        <v>0</v>
      </c>
      <c r="H19" s="76">
        <v>24.8</v>
      </c>
      <c r="I19" s="76">
        <v>0</v>
      </c>
      <c r="J19" s="76">
        <v>4.68</v>
      </c>
      <c r="K19" s="76">
        <v>2.4</v>
      </c>
      <c r="L19" s="76">
        <v>0.22</v>
      </c>
    </row>
    <row r="20" spans="1:12" ht="20.100000000000001" customHeight="1">
      <c r="B20" s="61" t="s">
        <v>170</v>
      </c>
      <c r="C20" s="25" t="s">
        <v>171</v>
      </c>
      <c r="D20" s="69">
        <v>60</v>
      </c>
      <c r="E20" s="44">
        <v>6.65</v>
      </c>
      <c r="F20" s="44">
        <v>16.399999999999999</v>
      </c>
      <c r="G20" s="44">
        <v>9.64</v>
      </c>
      <c r="H20" s="44">
        <v>212</v>
      </c>
      <c r="I20" s="44">
        <v>0.09</v>
      </c>
      <c r="J20" s="44">
        <v>25.7</v>
      </c>
      <c r="K20" s="44">
        <v>163</v>
      </c>
      <c r="L20" s="44">
        <v>0.99</v>
      </c>
    </row>
    <row r="21" spans="1:12" ht="22.5" customHeight="1">
      <c r="B21" s="124" t="s">
        <v>173</v>
      </c>
      <c r="C21" s="129" t="s">
        <v>172</v>
      </c>
      <c r="D21" s="64">
        <v>100</v>
      </c>
      <c r="E21" s="76">
        <v>3.68</v>
      </c>
      <c r="F21" s="76">
        <v>3.01</v>
      </c>
      <c r="G21" s="76">
        <v>17.63</v>
      </c>
      <c r="H21" s="76">
        <v>112.3</v>
      </c>
      <c r="I21" s="76">
        <v>0</v>
      </c>
      <c r="J21" s="76">
        <v>3.24</v>
      </c>
      <c r="K21" s="76">
        <v>14.08</v>
      </c>
      <c r="L21" s="76">
        <v>0.73</v>
      </c>
    </row>
    <row r="22" spans="1:12" ht="19.5" customHeight="1">
      <c r="B22" s="53" t="s">
        <v>149</v>
      </c>
      <c r="C22" s="54" t="s">
        <v>135</v>
      </c>
      <c r="D22" s="55">
        <v>180</v>
      </c>
      <c r="E22" s="76">
        <v>0.4</v>
      </c>
      <c r="F22" s="76">
        <v>0.02</v>
      </c>
      <c r="G22" s="76">
        <v>19</v>
      </c>
      <c r="H22" s="76">
        <v>77.7</v>
      </c>
      <c r="I22" s="76">
        <v>0.36</v>
      </c>
      <c r="J22" s="76">
        <v>28.54</v>
      </c>
      <c r="K22" s="76">
        <v>5.4</v>
      </c>
      <c r="L22" s="76">
        <v>1.1100000000000001</v>
      </c>
    </row>
    <row r="23" spans="1:12" ht="20.100000000000001" customHeight="1">
      <c r="A23" s="40">
        <v>1</v>
      </c>
      <c r="B23" s="53"/>
      <c r="C23" s="54" t="s">
        <v>16</v>
      </c>
      <c r="D23" s="55">
        <v>20</v>
      </c>
      <c r="E23" s="76">
        <v>1.22</v>
      </c>
      <c r="F23" s="76">
        <v>0.22</v>
      </c>
      <c r="G23" s="76">
        <v>9.8800000000000008</v>
      </c>
      <c r="H23" s="76">
        <v>45.95</v>
      </c>
      <c r="I23" s="76">
        <v>0</v>
      </c>
      <c r="J23" s="76">
        <v>4.5999999999999996</v>
      </c>
      <c r="K23" s="76">
        <v>5</v>
      </c>
      <c r="L23" s="76">
        <v>0.62</v>
      </c>
    </row>
    <row r="24" spans="1:12" ht="20.100000000000001" customHeight="1">
      <c r="A24" s="40">
        <v>1</v>
      </c>
      <c r="B24" s="125"/>
      <c r="C24" s="72" t="s">
        <v>136</v>
      </c>
      <c r="D24" s="126">
        <v>10</v>
      </c>
      <c r="E24" s="76">
        <v>0.79</v>
      </c>
      <c r="F24" s="76">
        <v>0.1</v>
      </c>
      <c r="G24" s="76">
        <v>4.83</v>
      </c>
      <c r="H24" s="76">
        <v>23.5</v>
      </c>
      <c r="I24" s="76">
        <v>0</v>
      </c>
      <c r="J24" s="76">
        <v>2.2999999999999998</v>
      </c>
      <c r="K24" s="76">
        <v>3.3</v>
      </c>
      <c r="L24" s="76">
        <v>0.2</v>
      </c>
    </row>
    <row r="25" spans="1:12" ht="20.100000000000001" customHeight="1">
      <c r="A25" s="40">
        <v>1</v>
      </c>
      <c r="B25" s="41"/>
      <c r="C25" s="41" t="s">
        <v>14</v>
      </c>
      <c r="D25" s="42">
        <f>SUM(D17:D24)</f>
        <v>622</v>
      </c>
      <c r="E25" s="41">
        <f>SUM(E17:E24)</f>
        <v>18.889999999999997</v>
      </c>
      <c r="F25" s="125">
        <f t="shared" ref="F25:L25" si="2">SUM(F17:F24)</f>
        <v>27.05</v>
      </c>
      <c r="G25" s="125">
        <f t="shared" si="2"/>
        <v>75.259999999999991</v>
      </c>
      <c r="H25" s="125">
        <f t="shared" si="2"/>
        <v>622.55000000000007</v>
      </c>
      <c r="I25" s="125">
        <f t="shared" si="2"/>
        <v>10.329999999999998</v>
      </c>
      <c r="J25" s="125">
        <f t="shared" si="2"/>
        <v>154.75</v>
      </c>
      <c r="K25" s="125">
        <f t="shared" si="2"/>
        <v>225.21000000000004</v>
      </c>
      <c r="L25" s="125">
        <f t="shared" si="2"/>
        <v>5.42</v>
      </c>
    </row>
    <row r="26" spans="1:12" ht="20.100000000000001" customHeight="1">
      <c r="A26" s="40">
        <v>1</v>
      </c>
      <c r="B26" s="154" t="s">
        <v>308</v>
      </c>
      <c r="C26" s="154"/>
      <c r="D26" s="154"/>
      <c r="E26" s="154"/>
      <c r="F26" s="154"/>
      <c r="G26" s="154"/>
      <c r="H26" s="154"/>
      <c r="I26" s="154"/>
      <c r="J26" s="154"/>
      <c r="K26" s="154"/>
      <c r="L26" s="154"/>
    </row>
    <row r="27" spans="1:12" s="73" customFormat="1" ht="20.100000000000001" customHeight="1">
      <c r="B27" s="124" t="s">
        <v>175</v>
      </c>
      <c r="C27" s="72" t="s">
        <v>174</v>
      </c>
      <c r="D27" s="77">
        <v>100</v>
      </c>
      <c r="E27" s="76">
        <v>12.8</v>
      </c>
      <c r="F27" s="76">
        <v>10.8</v>
      </c>
      <c r="G27" s="76">
        <v>10.5</v>
      </c>
      <c r="H27" s="76">
        <v>190</v>
      </c>
      <c r="I27" s="76">
        <v>0.26</v>
      </c>
      <c r="J27" s="76">
        <v>134.5</v>
      </c>
      <c r="K27" s="76">
        <v>20.5</v>
      </c>
      <c r="L27" s="76">
        <v>0.56000000000000005</v>
      </c>
    </row>
    <row r="28" spans="1:12" s="73" customFormat="1" ht="20.100000000000001" customHeight="1">
      <c r="B28" s="100" t="s">
        <v>177</v>
      </c>
      <c r="C28" s="72" t="s">
        <v>176</v>
      </c>
      <c r="D28" s="77">
        <v>30</v>
      </c>
      <c r="E28" s="76">
        <v>1.1000000000000001</v>
      </c>
      <c r="F28" s="76">
        <v>1.66</v>
      </c>
      <c r="G28" s="76">
        <v>2.38</v>
      </c>
      <c r="H28" s="76">
        <v>40.08</v>
      </c>
      <c r="I28" s="76">
        <v>0.08</v>
      </c>
      <c r="J28" s="76">
        <v>0.35</v>
      </c>
      <c r="K28" s="76">
        <v>0.31</v>
      </c>
      <c r="L28" s="76">
        <v>0.02</v>
      </c>
    </row>
    <row r="29" spans="1:12" s="73" customFormat="1" ht="20.100000000000001" customHeight="1">
      <c r="B29" s="132" t="s">
        <v>202</v>
      </c>
      <c r="C29" s="72" t="s">
        <v>246</v>
      </c>
      <c r="D29" s="77" t="s">
        <v>280</v>
      </c>
      <c r="E29" s="76">
        <v>4.6399999999999997</v>
      </c>
      <c r="F29" s="76">
        <v>4</v>
      </c>
      <c r="G29" s="76">
        <v>10.84</v>
      </c>
      <c r="H29" s="76">
        <v>97.78</v>
      </c>
      <c r="I29" s="76">
        <v>1.1200000000000001</v>
      </c>
      <c r="J29" s="76">
        <v>192</v>
      </c>
      <c r="K29" s="76">
        <v>22.4</v>
      </c>
      <c r="L29" s="76">
        <v>0.16</v>
      </c>
    </row>
    <row r="30" spans="1:12" s="73" customFormat="1" ht="20.100000000000001" customHeight="1">
      <c r="B30" s="132" t="s">
        <v>150</v>
      </c>
      <c r="C30" s="72" t="s">
        <v>247</v>
      </c>
      <c r="D30" s="77">
        <v>200</v>
      </c>
      <c r="E30" s="76">
        <v>6.09</v>
      </c>
      <c r="F30" s="76">
        <v>5.42</v>
      </c>
      <c r="G30" s="76">
        <v>10.08</v>
      </c>
      <c r="H30" s="76">
        <v>113.3</v>
      </c>
      <c r="I30" s="76">
        <v>2.73</v>
      </c>
      <c r="J30" s="76">
        <v>252</v>
      </c>
      <c r="K30" s="76">
        <v>29.44</v>
      </c>
      <c r="L30" s="76">
        <v>0.21</v>
      </c>
    </row>
    <row r="31" spans="1:12" s="73" customFormat="1" ht="20.100000000000001" customHeight="1">
      <c r="B31" s="132"/>
      <c r="C31" s="72" t="s">
        <v>72</v>
      </c>
      <c r="D31" s="77"/>
      <c r="E31" s="132">
        <f>SUM(E29:E30)/2</f>
        <v>5.3650000000000002</v>
      </c>
      <c r="F31" s="132">
        <f t="shared" ref="F31:L31" si="3">SUM(F29:F30)/2</f>
        <v>4.71</v>
      </c>
      <c r="G31" s="132">
        <f t="shared" si="3"/>
        <v>10.46</v>
      </c>
      <c r="H31" s="132">
        <f t="shared" si="3"/>
        <v>105.53999999999999</v>
      </c>
      <c r="I31" s="132">
        <f t="shared" si="3"/>
        <v>1.925</v>
      </c>
      <c r="J31" s="132">
        <f t="shared" si="3"/>
        <v>222</v>
      </c>
      <c r="K31" s="132">
        <f t="shared" si="3"/>
        <v>25.92</v>
      </c>
      <c r="L31" s="132">
        <f t="shared" si="3"/>
        <v>0.185</v>
      </c>
    </row>
    <row r="32" spans="1:12" s="73" customFormat="1" ht="20.100000000000001" customHeight="1">
      <c r="B32" s="100"/>
      <c r="C32" s="134" t="s">
        <v>14</v>
      </c>
      <c r="D32" s="77">
        <v>330</v>
      </c>
      <c r="E32" s="100">
        <f>E27+E28+E31</f>
        <v>19.265000000000001</v>
      </c>
      <c r="F32" s="132">
        <f t="shared" ref="F32:L32" si="4">F27+F28+F31</f>
        <v>17.170000000000002</v>
      </c>
      <c r="G32" s="132">
        <f t="shared" si="4"/>
        <v>23.34</v>
      </c>
      <c r="H32" s="132">
        <f t="shared" si="4"/>
        <v>335.62</v>
      </c>
      <c r="I32" s="132">
        <f t="shared" si="4"/>
        <v>2.2650000000000001</v>
      </c>
      <c r="J32" s="132">
        <f t="shared" si="4"/>
        <v>356.85</v>
      </c>
      <c r="K32" s="132">
        <f t="shared" si="4"/>
        <v>46.730000000000004</v>
      </c>
      <c r="L32" s="132">
        <f t="shared" si="4"/>
        <v>0.76500000000000012</v>
      </c>
    </row>
    <row r="33" spans="1:12" s="73" customFormat="1" ht="20.100000000000001" customHeight="1">
      <c r="B33" s="151" t="s">
        <v>309</v>
      </c>
      <c r="C33" s="152"/>
      <c r="D33" s="152"/>
      <c r="E33" s="152"/>
      <c r="F33" s="152"/>
      <c r="G33" s="152"/>
      <c r="H33" s="152"/>
      <c r="I33" s="152"/>
      <c r="J33" s="152"/>
      <c r="K33" s="152"/>
      <c r="L33" s="153"/>
    </row>
    <row r="34" spans="1:12" s="73" customFormat="1" ht="20.100000000000001" customHeight="1">
      <c r="B34" s="124" t="s">
        <v>179</v>
      </c>
      <c r="C34" s="72" t="s">
        <v>178</v>
      </c>
      <c r="D34" s="77">
        <v>60</v>
      </c>
      <c r="E34" s="76">
        <v>6.3</v>
      </c>
      <c r="F34" s="76">
        <v>2.82</v>
      </c>
      <c r="G34" s="76">
        <v>5.75</v>
      </c>
      <c r="H34" s="76">
        <v>73</v>
      </c>
      <c r="I34" s="76">
        <v>0.25</v>
      </c>
      <c r="J34" s="76">
        <v>32.03</v>
      </c>
      <c r="K34" s="76">
        <v>18</v>
      </c>
      <c r="L34" s="76">
        <v>0.44</v>
      </c>
    </row>
    <row r="35" spans="1:12" s="73" customFormat="1" ht="20.100000000000001" customHeight="1">
      <c r="B35" s="100" t="s">
        <v>182</v>
      </c>
      <c r="C35" s="72" t="s">
        <v>180</v>
      </c>
      <c r="D35" s="77">
        <v>110</v>
      </c>
      <c r="E35" s="76">
        <v>2.44</v>
      </c>
      <c r="F35" s="76">
        <v>3.72</v>
      </c>
      <c r="G35" s="76">
        <v>15.38</v>
      </c>
      <c r="H35" s="76">
        <v>96.8</v>
      </c>
      <c r="I35" s="76">
        <v>11.48</v>
      </c>
      <c r="J35" s="76">
        <v>42.75</v>
      </c>
      <c r="K35" s="76">
        <v>19.43</v>
      </c>
      <c r="L35" s="76">
        <v>0.73</v>
      </c>
    </row>
    <row r="36" spans="1:12" s="73" customFormat="1" ht="20.100000000000001" customHeight="1">
      <c r="B36" s="100" t="s">
        <v>183</v>
      </c>
      <c r="C36" s="72" t="s">
        <v>181</v>
      </c>
      <c r="D36" s="77">
        <v>100</v>
      </c>
      <c r="E36" s="76">
        <v>2.06</v>
      </c>
      <c r="F36" s="76">
        <v>3.24</v>
      </c>
      <c r="G36" s="76">
        <v>9.42</v>
      </c>
      <c r="H36" s="76">
        <v>75.099999999999994</v>
      </c>
      <c r="I36" s="76">
        <v>17.16</v>
      </c>
      <c r="J36" s="76">
        <v>55.44</v>
      </c>
      <c r="K36" s="76">
        <v>20</v>
      </c>
      <c r="L36" s="76">
        <v>0.8</v>
      </c>
    </row>
    <row r="37" spans="1:12" ht="21.75" customHeight="1">
      <c r="A37" s="40">
        <v>1</v>
      </c>
      <c r="B37" s="100"/>
      <c r="C37" s="72" t="s">
        <v>16</v>
      </c>
      <c r="D37" s="42">
        <v>20</v>
      </c>
      <c r="E37" s="76">
        <v>1.22</v>
      </c>
      <c r="F37" s="76">
        <v>0.22</v>
      </c>
      <c r="G37" s="76">
        <v>9.8800000000000008</v>
      </c>
      <c r="H37" s="76">
        <v>45.95</v>
      </c>
      <c r="I37" s="76">
        <v>0</v>
      </c>
      <c r="J37" s="76">
        <v>4.5999999999999996</v>
      </c>
      <c r="K37" s="76">
        <v>5</v>
      </c>
      <c r="L37" s="76">
        <v>0.62</v>
      </c>
    </row>
    <row r="38" spans="1:12" s="73" customFormat="1" ht="21.75" customHeight="1">
      <c r="B38" s="123"/>
      <c r="C38" s="72" t="s">
        <v>136</v>
      </c>
      <c r="D38" s="124">
        <v>20</v>
      </c>
      <c r="E38" s="76">
        <v>1.58</v>
      </c>
      <c r="F38" s="76">
        <v>0.2</v>
      </c>
      <c r="G38" s="76">
        <v>9.66</v>
      </c>
      <c r="H38" s="76">
        <v>47</v>
      </c>
      <c r="I38" s="76">
        <v>0</v>
      </c>
      <c r="J38" s="76">
        <v>4.5999999999999996</v>
      </c>
      <c r="K38" s="76">
        <v>6.6</v>
      </c>
      <c r="L38" s="76">
        <v>0.4</v>
      </c>
    </row>
    <row r="39" spans="1:12" s="73" customFormat="1" ht="21.75" customHeight="1">
      <c r="B39" s="125" t="s">
        <v>202</v>
      </c>
      <c r="C39" s="72" t="s">
        <v>281</v>
      </c>
      <c r="D39" s="126" t="s">
        <v>279</v>
      </c>
      <c r="E39" s="76">
        <v>0.01</v>
      </c>
      <c r="F39" s="76">
        <v>0.01</v>
      </c>
      <c r="G39" s="76">
        <v>4.99</v>
      </c>
      <c r="H39" s="76">
        <v>19.95</v>
      </c>
      <c r="I39" s="76">
        <v>0.02</v>
      </c>
      <c r="J39" s="76">
        <v>7.94</v>
      </c>
      <c r="K39" s="76">
        <v>0.9</v>
      </c>
      <c r="L39" s="76">
        <v>0.18</v>
      </c>
    </row>
    <row r="40" spans="1:12" s="73" customFormat="1" ht="20.100000000000001" customHeight="1">
      <c r="A40" s="73">
        <v>1</v>
      </c>
      <c r="B40" s="74"/>
      <c r="C40" s="134" t="s">
        <v>14</v>
      </c>
      <c r="D40" s="75">
        <v>465</v>
      </c>
      <c r="E40" s="100">
        <f>E34+E35+E36+E37+E38</f>
        <v>13.600000000000001</v>
      </c>
      <c r="F40" s="123">
        <f>F34+F35+F36+F37+F38</f>
        <v>10.200000000000001</v>
      </c>
      <c r="G40" s="123">
        <f t="shared" ref="G40:L40" si="5">G34+G35+G36+G37+G38</f>
        <v>50.09</v>
      </c>
      <c r="H40" s="123">
        <f t="shared" si="5"/>
        <v>337.85</v>
      </c>
      <c r="I40" s="123">
        <f t="shared" si="5"/>
        <v>28.89</v>
      </c>
      <c r="J40" s="123">
        <f t="shared" si="5"/>
        <v>139.41999999999999</v>
      </c>
      <c r="K40" s="123">
        <f t="shared" si="5"/>
        <v>69.03</v>
      </c>
      <c r="L40" s="123">
        <f t="shared" si="5"/>
        <v>2.9899999999999998</v>
      </c>
    </row>
    <row r="41" spans="1:12" ht="20.100000000000001" customHeight="1">
      <c r="A41" s="40">
        <v>1</v>
      </c>
      <c r="B41" s="142"/>
      <c r="C41" s="142" t="s">
        <v>17</v>
      </c>
      <c r="D41" s="144">
        <f t="shared" ref="D41:L41" si="6">D12+D15+D25+D32+D40</f>
        <v>2037</v>
      </c>
      <c r="E41" s="142">
        <f t="shared" si="6"/>
        <v>70.034999999999997</v>
      </c>
      <c r="F41" s="142">
        <f t="shared" si="6"/>
        <v>75.88000000000001</v>
      </c>
      <c r="G41" s="142">
        <f t="shared" si="6"/>
        <v>219.98</v>
      </c>
      <c r="H41" s="142">
        <f t="shared" si="6"/>
        <v>1847.65</v>
      </c>
      <c r="I41" s="142">
        <f t="shared" si="6"/>
        <v>47.715000000000003</v>
      </c>
      <c r="J41" s="142">
        <f t="shared" si="6"/>
        <v>949.70999999999992</v>
      </c>
      <c r="K41" s="142">
        <f t="shared" si="6"/>
        <v>399.67000000000007</v>
      </c>
      <c r="L41" s="142">
        <f t="shared" si="6"/>
        <v>14.795</v>
      </c>
    </row>
    <row r="42" spans="1:12" s="73" customFormat="1" ht="20.100000000000001" customHeight="1">
      <c r="B42" s="145"/>
      <c r="C42" s="145" t="s">
        <v>272</v>
      </c>
      <c r="D42" s="146"/>
      <c r="E42" s="145">
        <v>42</v>
      </c>
      <c r="F42" s="145">
        <v>47</v>
      </c>
      <c r="G42" s="145">
        <v>203</v>
      </c>
      <c r="H42" s="145">
        <v>1400</v>
      </c>
      <c r="I42" s="145">
        <v>45</v>
      </c>
      <c r="J42" s="145">
        <v>800</v>
      </c>
      <c r="K42" s="145">
        <v>80</v>
      </c>
      <c r="L42" s="145">
        <v>10</v>
      </c>
    </row>
    <row r="43" spans="1:12" s="73" customFormat="1" ht="20.100000000000001" customHeight="1">
      <c r="B43" s="147"/>
      <c r="C43" s="147" t="s">
        <v>273</v>
      </c>
      <c r="D43" s="148"/>
      <c r="E43" s="147">
        <f>ROUND(E41/E42*100-100,2)</f>
        <v>66.75</v>
      </c>
      <c r="F43" s="147">
        <f t="shared" ref="F43:L43" si="7">ROUND(F41/F42*100-100,2)</f>
        <v>61.45</v>
      </c>
      <c r="G43" s="147">
        <f t="shared" si="7"/>
        <v>8.36</v>
      </c>
      <c r="H43" s="147">
        <f t="shared" si="7"/>
        <v>31.98</v>
      </c>
      <c r="I43" s="147">
        <f t="shared" si="7"/>
        <v>6.03</v>
      </c>
      <c r="J43" s="147">
        <f t="shared" si="7"/>
        <v>18.71</v>
      </c>
      <c r="K43" s="147">
        <f t="shared" si="7"/>
        <v>399.59</v>
      </c>
      <c r="L43" s="147">
        <f t="shared" si="7"/>
        <v>47.95</v>
      </c>
    </row>
    <row r="44" spans="1:12" s="35" customFormat="1" ht="15" customHeight="1">
      <c r="B44" s="45"/>
      <c r="C44" s="45"/>
      <c r="D44" s="46"/>
      <c r="E44" s="47"/>
      <c r="F44" s="47"/>
      <c r="G44" s="47"/>
      <c r="H44" s="47"/>
      <c r="I44" s="47"/>
      <c r="J44" s="47"/>
      <c r="K44" s="47"/>
      <c r="L44" s="47"/>
    </row>
    <row r="45" spans="1:12" s="35" customFormat="1" ht="20.100000000000001" customHeight="1">
      <c r="B45" s="36" t="s">
        <v>99</v>
      </c>
      <c r="C45" s="37"/>
      <c r="D45" s="46"/>
      <c r="E45" s="47"/>
      <c r="F45" s="47"/>
      <c r="G45" s="47"/>
      <c r="H45" s="47"/>
      <c r="I45" s="47"/>
      <c r="J45" s="47"/>
      <c r="K45" s="47"/>
      <c r="L45" s="47"/>
    </row>
    <row r="46" spans="1:12" s="35" customFormat="1" ht="20.100000000000001" customHeight="1">
      <c r="B46" s="36" t="s">
        <v>98</v>
      </c>
      <c r="C46" s="37"/>
      <c r="D46" s="46"/>
      <c r="E46" s="47"/>
      <c r="F46" s="47"/>
      <c r="G46" s="47"/>
      <c r="H46" s="47"/>
      <c r="I46" s="47"/>
      <c r="J46" s="47"/>
      <c r="K46" s="47"/>
      <c r="L46" s="47"/>
    </row>
    <row r="47" spans="1:12" s="35" customFormat="1">
      <c r="B47" s="36" t="s">
        <v>277</v>
      </c>
      <c r="C47" s="37"/>
      <c r="D47" s="38"/>
      <c r="E47" s="39"/>
      <c r="F47" s="39"/>
      <c r="G47" s="39"/>
      <c r="H47" s="39"/>
      <c r="I47" s="39"/>
      <c r="J47" s="39"/>
      <c r="K47" s="39"/>
      <c r="L47" s="39"/>
    </row>
    <row r="48" spans="1:12" s="35" customFormat="1" ht="41.25" customHeight="1">
      <c r="B48" s="155" t="s">
        <v>0</v>
      </c>
      <c r="C48" s="155" t="s">
        <v>1</v>
      </c>
      <c r="D48" s="156" t="s">
        <v>2</v>
      </c>
      <c r="E48" s="154" t="s">
        <v>3</v>
      </c>
      <c r="F48" s="154"/>
      <c r="G48" s="154"/>
      <c r="H48" s="154" t="s">
        <v>4</v>
      </c>
      <c r="I48" s="121"/>
      <c r="J48" s="154" t="s">
        <v>5</v>
      </c>
      <c r="K48" s="154"/>
      <c r="L48" s="154"/>
    </row>
    <row r="49" spans="1:12" s="35" customFormat="1" ht="41.25" customHeight="1">
      <c r="B49" s="155"/>
      <c r="C49" s="155"/>
      <c r="D49" s="156"/>
      <c r="E49" s="41" t="s">
        <v>6</v>
      </c>
      <c r="F49" s="41" t="s">
        <v>7</v>
      </c>
      <c r="G49" s="41" t="s">
        <v>8</v>
      </c>
      <c r="H49" s="154"/>
      <c r="I49" s="41" t="s">
        <v>9</v>
      </c>
      <c r="J49" s="41" t="s">
        <v>10</v>
      </c>
      <c r="K49" s="41" t="s">
        <v>11</v>
      </c>
      <c r="L49" s="41" t="s">
        <v>12</v>
      </c>
    </row>
    <row r="50" spans="1:12" ht="20.100000000000001" customHeight="1">
      <c r="A50" s="40">
        <v>2</v>
      </c>
      <c r="B50" s="154" t="s">
        <v>310</v>
      </c>
      <c r="C50" s="154"/>
      <c r="D50" s="154"/>
      <c r="E50" s="154"/>
      <c r="F50" s="154"/>
      <c r="G50" s="154"/>
      <c r="H50" s="154"/>
      <c r="I50" s="154"/>
      <c r="J50" s="154"/>
      <c r="K50" s="154"/>
      <c r="L50" s="154"/>
    </row>
    <row r="51" spans="1:12" ht="36.6" customHeight="1">
      <c r="A51" s="40">
        <v>2</v>
      </c>
      <c r="B51" s="126" t="s">
        <v>186</v>
      </c>
      <c r="C51" s="56" t="s">
        <v>185</v>
      </c>
      <c r="D51" s="77" t="s">
        <v>279</v>
      </c>
      <c r="E51" s="44">
        <v>5.65</v>
      </c>
      <c r="F51" s="44">
        <v>6.1</v>
      </c>
      <c r="G51" s="44">
        <v>27.28</v>
      </c>
      <c r="H51" s="44">
        <v>190.54</v>
      </c>
      <c r="I51" s="44">
        <v>0.88</v>
      </c>
      <c r="J51" s="44">
        <v>103.5</v>
      </c>
      <c r="K51" s="44">
        <v>36</v>
      </c>
      <c r="L51" s="44">
        <v>0.92</v>
      </c>
    </row>
    <row r="52" spans="1:12" ht="18" customHeight="1">
      <c r="A52" s="40">
        <v>2</v>
      </c>
      <c r="B52" s="112" t="s">
        <v>188</v>
      </c>
      <c r="C52" s="56" t="s">
        <v>187</v>
      </c>
      <c r="D52" s="77">
        <v>15</v>
      </c>
      <c r="E52" s="76">
        <v>3.48</v>
      </c>
      <c r="F52" s="76">
        <v>4.43</v>
      </c>
      <c r="G52" s="76">
        <v>0</v>
      </c>
      <c r="H52" s="76">
        <v>54</v>
      </c>
      <c r="I52" s="76">
        <v>0.1</v>
      </c>
      <c r="J52" s="76">
        <v>132</v>
      </c>
      <c r="K52" s="76">
        <v>5.25</v>
      </c>
      <c r="L52" s="76">
        <v>0.15</v>
      </c>
    </row>
    <row r="53" spans="1:12" ht="18" customHeight="1">
      <c r="A53" s="40">
        <v>2</v>
      </c>
      <c r="B53" s="112"/>
      <c r="C53" s="56" t="s">
        <v>158</v>
      </c>
      <c r="D53" s="75">
        <v>20</v>
      </c>
      <c r="E53" s="44">
        <v>1.58</v>
      </c>
      <c r="F53" s="76">
        <v>0.2</v>
      </c>
      <c r="G53" s="76">
        <v>9.66</v>
      </c>
      <c r="H53" s="76">
        <v>47</v>
      </c>
      <c r="I53" s="76">
        <v>0</v>
      </c>
      <c r="J53" s="76">
        <v>4.5999999999999996</v>
      </c>
      <c r="K53" s="76">
        <v>6.6</v>
      </c>
      <c r="L53" s="76">
        <v>0.4</v>
      </c>
    </row>
    <row r="54" spans="1:12" s="73" customFormat="1" ht="18" customHeight="1">
      <c r="B54" s="125" t="s">
        <v>189</v>
      </c>
      <c r="C54" s="56" t="s">
        <v>42</v>
      </c>
      <c r="D54" s="126">
        <v>150</v>
      </c>
      <c r="E54" s="76">
        <v>3.15</v>
      </c>
      <c r="F54" s="76">
        <v>2.72</v>
      </c>
      <c r="G54" s="76">
        <v>8.9600000000000009</v>
      </c>
      <c r="H54" s="76">
        <v>77</v>
      </c>
      <c r="I54" s="76">
        <v>1.2</v>
      </c>
      <c r="J54" s="76">
        <v>114.7</v>
      </c>
      <c r="K54" s="76">
        <v>16.7</v>
      </c>
      <c r="L54" s="76">
        <v>0.41</v>
      </c>
    </row>
    <row r="55" spans="1:12" s="73" customFormat="1" ht="18" customHeight="1">
      <c r="A55" s="73">
        <v>2</v>
      </c>
      <c r="B55" s="125"/>
      <c r="C55" s="125" t="s">
        <v>14</v>
      </c>
      <c r="D55" s="126">
        <v>340</v>
      </c>
      <c r="E55" s="125">
        <f>E51+E52+E53+E54</f>
        <v>13.860000000000001</v>
      </c>
      <c r="F55" s="125">
        <f t="shared" ref="F55:L55" si="8">F51+F52+F53+F54</f>
        <v>13.45</v>
      </c>
      <c r="G55" s="125">
        <f t="shared" si="8"/>
        <v>45.9</v>
      </c>
      <c r="H55" s="125">
        <f t="shared" si="8"/>
        <v>368.53999999999996</v>
      </c>
      <c r="I55" s="125">
        <f t="shared" si="8"/>
        <v>2.1799999999999997</v>
      </c>
      <c r="J55" s="125">
        <f t="shared" si="8"/>
        <v>354.8</v>
      </c>
      <c r="K55" s="125">
        <f t="shared" si="8"/>
        <v>64.55</v>
      </c>
      <c r="L55" s="125">
        <f t="shared" si="8"/>
        <v>1.8800000000000001</v>
      </c>
    </row>
    <row r="56" spans="1:12" s="73" customFormat="1" ht="18" customHeight="1">
      <c r="B56" s="151" t="s">
        <v>311</v>
      </c>
      <c r="C56" s="152"/>
      <c r="D56" s="152"/>
      <c r="E56" s="152"/>
      <c r="F56" s="152"/>
      <c r="G56" s="152"/>
      <c r="H56" s="152"/>
      <c r="I56" s="152"/>
      <c r="J56" s="152"/>
      <c r="K56" s="152"/>
      <c r="L56" s="153"/>
    </row>
    <row r="57" spans="1:12" s="73" customFormat="1" ht="18" customHeight="1">
      <c r="B57" s="77" t="s">
        <v>355</v>
      </c>
      <c r="C57" s="72" t="s">
        <v>130</v>
      </c>
      <c r="D57" s="126">
        <v>150</v>
      </c>
      <c r="E57" s="76">
        <v>0.6</v>
      </c>
      <c r="F57" s="76">
        <v>0.6</v>
      </c>
      <c r="G57" s="76">
        <v>14.7</v>
      </c>
      <c r="H57" s="76">
        <v>70</v>
      </c>
      <c r="I57" s="76">
        <v>15</v>
      </c>
      <c r="J57" s="76">
        <v>24</v>
      </c>
      <c r="K57" s="76">
        <v>13.5</v>
      </c>
      <c r="L57" s="76">
        <v>3.3</v>
      </c>
    </row>
    <row r="58" spans="1:12" ht="18" customHeight="1">
      <c r="A58" s="40">
        <v>2</v>
      </c>
      <c r="B58" s="125"/>
      <c r="C58" s="125" t="s">
        <v>14</v>
      </c>
      <c r="D58" s="126">
        <f>D57</f>
        <v>150</v>
      </c>
      <c r="E58" s="125">
        <f>E57</f>
        <v>0.6</v>
      </c>
      <c r="F58" s="125">
        <f t="shared" ref="F58:L58" si="9">F57</f>
        <v>0.6</v>
      </c>
      <c r="G58" s="125">
        <f t="shared" si="9"/>
        <v>14.7</v>
      </c>
      <c r="H58" s="125">
        <f t="shared" si="9"/>
        <v>70</v>
      </c>
      <c r="I58" s="125">
        <f t="shared" si="9"/>
        <v>15</v>
      </c>
      <c r="J58" s="125">
        <f t="shared" si="9"/>
        <v>24</v>
      </c>
      <c r="K58" s="125">
        <f t="shared" si="9"/>
        <v>13.5</v>
      </c>
      <c r="L58" s="125">
        <f t="shared" si="9"/>
        <v>3.3</v>
      </c>
    </row>
    <row r="59" spans="1:12" ht="18" customHeight="1">
      <c r="A59" s="40">
        <v>2</v>
      </c>
      <c r="B59" s="151" t="s">
        <v>312</v>
      </c>
      <c r="C59" s="152"/>
      <c r="D59" s="152"/>
      <c r="E59" s="152"/>
      <c r="F59" s="152"/>
      <c r="G59" s="152"/>
      <c r="H59" s="152"/>
      <c r="I59" s="152"/>
      <c r="J59" s="152"/>
      <c r="K59" s="152"/>
      <c r="L59" s="153"/>
    </row>
    <row r="60" spans="1:12" ht="18" customHeight="1">
      <c r="A60" s="40">
        <v>2</v>
      </c>
      <c r="B60" s="125" t="s">
        <v>145</v>
      </c>
      <c r="C60" s="72" t="s">
        <v>131</v>
      </c>
      <c r="D60" s="126">
        <v>40</v>
      </c>
      <c r="E60" s="48">
        <v>0.56000000000000005</v>
      </c>
      <c r="F60" s="48">
        <v>2.0299999999999998</v>
      </c>
      <c r="G60" s="48">
        <v>3.6</v>
      </c>
      <c r="H60" s="48">
        <v>34.96</v>
      </c>
      <c r="I60" s="48">
        <v>12.98</v>
      </c>
      <c r="J60" s="48">
        <v>14.95</v>
      </c>
      <c r="K60" s="48">
        <v>6.06</v>
      </c>
      <c r="L60" s="48">
        <v>0.2</v>
      </c>
    </row>
    <row r="61" spans="1:12" ht="18" customHeight="1">
      <c r="B61" s="125" t="s">
        <v>191</v>
      </c>
      <c r="C61" s="72" t="s">
        <v>190</v>
      </c>
      <c r="D61" s="126">
        <v>40</v>
      </c>
      <c r="E61" s="48">
        <v>0.3</v>
      </c>
      <c r="F61" s="48">
        <v>2.44</v>
      </c>
      <c r="G61" s="48">
        <v>0.95</v>
      </c>
      <c r="H61" s="48">
        <v>26.9</v>
      </c>
      <c r="I61" s="48">
        <v>3.8</v>
      </c>
      <c r="J61" s="48">
        <v>8.74</v>
      </c>
      <c r="K61" s="48">
        <v>5.32</v>
      </c>
      <c r="L61" s="48">
        <v>0.3</v>
      </c>
    </row>
    <row r="62" spans="1:12" ht="18" customHeight="1">
      <c r="B62" s="125"/>
      <c r="C62" s="72" t="s">
        <v>72</v>
      </c>
      <c r="D62" s="126"/>
      <c r="E62" s="130">
        <f>SUM(E60:E61)/2</f>
        <v>0.43000000000000005</v>
      </c>
      <c r="F62" s="130">
        <f t="shared" ref="F62:L62" si="10">SUM(F60:F61)/2</f>
        <v>2.2349999999999999</v>
      </c>
      <c r="G62" s="130">
        <f t="shared" si="10"/>
        <v>2.2749999999999999</v>
      </c>
      <c r="H62" s="130">
        <f t="shared" si="10"/>
        <v>30.93</v>
      </c>
      <c r="I62" s="130">
        <f t="shared" si="10"/>
        <v>8.39</v>
      </c>
      <c r="J62" s="130">
        <f t="shared" si="10"/>
        <v>11.844999999999999</v>
      </c>
      <c r="K62" s="130">
        <f t="shared" si="10"/>
        <v>5.6899999999999995</v>
      </c>
      <c r="L62" s="130">
        <f t="shared" si="10"/>
        <v>0.25</v>
      </c>
    </row>
    <row r="63" spans="1:12" s="73" customFormat="1" ht="17.45" customHeight="1">
      <c r="B63" s="77" t="s">
        <v>192</v>
      </c>
      <c r="C63" s="72" t="s">
        <v>76</v>
      </c>
      <c r="D63" s="126" t="s">
        <v>282</v>
      </c>
      <c r="E63" s="48">
        <v>4.1900000000000004</v>
      </c>
      <c r="F63" s="48">
        <v>7.91</v>
      </c>
      <c r="G63" s="48">
        <v>12.35</v>
      </c>
      <c r="H63" s="48">
        <v>140</v>
      </c>
      <c r="I63" s="48">
        <v>8.9600000000000009</v>
      </c>
      <c r="J63" s="48">
        <v>22.76</v>
      </c>
      <c r="K63" s="48">
        <v>29.54</v>
      </c>
      <c r="L63" s="48">
        <v>1.39</v>
      </c>
    </row>
    <row r="64" spans="1:12" s="73" customFormat="1" ht="19.899999999999999" customHeight="1">
      <c r="B64" s="77" t="s">
        <v>194</v>
      </c>
      <c r="C64" s="72" t="s">
        <v>193</v>
      </c>
      <c r="D64" s="126" t="s">
        <v>283</v>
      </c>
      <c r="E64" s="48">
        <v>8.64</v>
      </c>
      <c r="F64" s="48">
        <v>14.68</v>
      </c>
      <c r="G64" s="48">
        <v>15.04</v>
      </c>
      <c r="H64" s="48">
        <v>230.72</v>
      </c>
      <c r="I64" s="48">
        <v>15.03</v>
      </c>
      <c r="J64" s="48">
        <v>44.28</v>
      </c>
      <c r="K64" s="48">
        <v>33.909999999999997</v>
      </c>
      <c r="L64" s="48">
        <v>1.68</v>
      </c>
    </row>
    <row r="65" spans="1:12" ht="23.45" customHeight="1">
      <c r="B65" s="118" t="s">
        <v>154</v>
      </c>
      <c r="C65" s="72" t="s">
        <v>284</v>
      </c>
      <c r="D65" s="42">
        <v>110</v>
      </c>
      <c r="E65" s="48">
        <v>3.02</v>
      </c>
      <c r="F65" s="48">
        <v>2.96</v>
      </c>
      <c r="G65" s="48">
        <v>18.559999999999999</v>
      </c>
      <c r="H65" s="48">
        <v>112.93</v>
      </c>
      <c r="I65" s="48">
        <v>0</v>
      </c>
      <c r="J65" s="48">
        <v>12.32</v>
      </c>
      <c r="K65" s="48">
        <v>16.350000000000001</v>
      </c>
      <c r="L65" s="48">
        <v>1.29</v>
      </c>
    </row>
    <row r="66" spans="1:12" ht="29.45" customHeight="1">
      <c r="B66" s="41" t="s">
        <v>195</v>
      </c>
      <c r="C66" s="72" t="s">
        <v>357</v>
      </c>
      <c r="D66" s="42">
        <v>150</v>
      </c>
      <c r="E66" s="48">
        <v>0</v>
      </c>
      <c r="F66" s="48">
        <v>0</v>
      </c>
      <c r="G66" s="48">
        <v>10.01</v>
      </c>
      <c r="H66" s="48">
        <v>37</v>
      </c>
      <c r="I66" s="48">
        <v>0</v>
      </c>
      <c r="J66" s="48">
        <v>0.21</v>
      </c>
      <c r="K66" s="48">
        <v>0</v>
      </c>
      <c r="L66" s="48">
        <v>0.03</v>
      </c>
    </row>
    <row r="67" spans="1:12" ht="18" customHeight="1">
      <c r="A67" s="40">
        <v>2</v>
      </c>
      <c r="B67" s="41"/>
      <c r="C67" s="72" t="s">
        <v>16</v>
      </c>
      <c r="D67" s="42">
        <v>20</v>
      </c>
      <c r="E67" s="48">
        <v>1.22</v>
      </c>
      <c r="F67" s="48">
        <v>0.22</v>
      </c>
      <c r="G67" s="48">
        <v>9.8800000000000008</v>
      </c>
      <c r="H67" s="48">
        <v>45.95</v>
      </c>
      <c r="I67" s="48">
        <v>0</v>
      </c>
      <c r="J67" s="48">
        <v>4.5999999999999996</v>
      </c>
      <c r="K67" s="48">
        <v>5</v>
      </c>
      <c r="L67" s="48">
        <v>0.62</v>
      </c>
    </row>
    <row r="68" spans="1:12" ht="18" customHeight="1">
      <c r="A68" s="40">
        <v>2</v>
      </c>
      <c r="B68" s="41"/>
      <c r="C68" s="72" t="s">
        <v>136</v>
      </c>
      <c r="D68" s="42">
        <v>15</v>
      </c>
      <c r="E68" s="48">
        <v>1.19</v>
      </c>
      <c r="F68" s="48">
        <v>0.15</v>
      </c>
      <c r="G68" s="48">
        <v>7.25</v>
      </c>
      <c r="H68" s="48">
        <v>35.25</v>
      </c>
      <c r="I68" s="48">
        <v>0</v>
      </c>
      <c r="J68" s="48">
        <v>3.45</v>
      </c>
      <c r="K68" s="48">
        <v>4.95</v>
      </c>
      <c r="L68" s="48">
        <v>0.3</v>
      </c>
    </row>
    <row r="69" spans="1:12" ht="18" customHeight="1">
      <c r="A69" s="40">
        <v>2</v>
      </c>
      <c r="B69" s="41"/>
      <c r="C69" s="41" t="s">
        <v>14</v>
      </c>
      <c r="D69" s="42">
        <v>690</v>
      </c>
      <c r="E69" s="41">
        <f>SUM(E62:E68)</f>
        <v>18.690000000000001</v>
      </c>
      <c r="F69" s="125">
        <f t="shared" ref="F69:L69" si="11">SUM(F62:F68)</f>
        <v>28.154999999999998</v>
      </c>
      <c r="G69" s="125">
        <f t="shared" si="11"/>
        <v>75.364999999999995</v>
      </c>
      <c r="H69" s="125">
        <f t="shared" si="11"/>
        <v>632.78</v>
      </c>
      <c r="I69" s="125">
        <f t="shared" si="11"/>
        <v>32.380000000000003</v>
      </c>
      <c r="J69" s="125">
        <f t="shared" si="11"/>
        <v>99.465000000000003</v>
      </c>
      <c r="K69" s="125">
        <f t="shared" si="11"/>
        <v>95.439999999999984</v>
      </c>
      <c r="L69" s="125">
        <f t="shared" si="11"/>
        <v>5.56</v>
      </c>
    </row>
    <row r="70" spans="1:12" ht="18" customHeight="1">
      <c r="B70" s="154" t="s">
        <v>313</v>
      </c>
      <c r="C70" s="154"/>
      <c r="D70" s="154"/>
      <c r="E70" s="154"/>
      <c r="F70" s="154"/>
      <c r="G70" s="154"/>
      <c r="H70" s="154"/>
      <c r="I70" s="154"/>
      <c r="J70" s="154"/>
      <c r="K70" s="154"/>
      <c r="L70" s="154"/>
    </row>
    <row r="71" spans="1:12" s="73" customFormat="1" ht="18" customHeight="1">
      <c r="B71" s="100"/>
      <c r="C71" s="72" t="s">
        <v>196</v>
      </c>
      <c r="D71" s="77">
        <v>30</v>
      </c>
      <c r="E71" s="104">
        <v>2.2200000000000002</v>
      </c>
      <c r="F71" s="104">
        <v>2.85</v>
      </c>
      <c r="G71" s="104">
        <v>21.9</v>
      </c>
      <c r="H71" s="104">
        <v>102.1</v>
      </c>
      <c r="I71" s="104">
        <v>0</v>
      </c>
      <c r="J71" s="104">
        <v>12.3</v>
      </c>
      <c r="K71" s="104">
        <v>4.5</v>
      </c>
      <c r="L71" s="104">
        <v>0.3</v>
      </c>
    </row>
    <row r="72" spans="1:12" s="73" customFormat="1" ht="18" customHeight="1">
      <c r="B72" s="100" t="s">
        <v>150</v>
      </c>
      <c r="C72" s="72" t="s">
        <v>139</v>
      </c>
      <c r="D72" s="77">
        <v>200</v>
      </c>
      <c r="E72" s="104">
        <v>6.09</v>
      </c>
      <c r="F72" s="104">
        <v>5.42</v>
      </c>
      <c r="G72" s="104">
        <v>10.08</v>
      </c>
      <c r="H72" s="104">
        <v>113.3</v>
      </c>
      <c r="I72" s="104">
        <v>2.73</v>
      </c>
      <c r="J72" s="104">
        <v>252</v>
      </c>
      <c r="K72" s="104">
        <v>29.44</v>
      </c>
      <c r="L72" s="104">
        <v>0.21</v>
      </c>
    </row>
    <row r="73" spans="1:12" s="73" customFormat="1" ht="18" customHeight="1">
      <c r="B73" s="100"/>
      <c r="C73" s="134" t="s">
        <v>14</v>
      </c>
      <c r="D73" s="77">
        <v>230</v>
      </c>
      <c r="E73" s="103">
        <f>E71+E72</f>
        <v>8.31</v>
      </c>
      <c r="F73" s="103">
        <f t="shared" ref="F73:L73" si="12">F71+F72</f>
        <v>8.27</v>
      </c>
      <c r="G73" s="103">
        <f t="shared" si="12"/>
        <v>31.979999999999997</v>
      </c>
      <c r="H73" s="103">
        <f t="shared" si="12"/>
        <v>215.39999999999998</v>
      </c>
      <c r="I73" s="103">
        <f t="shared" si="12"/>
        <v>2.73</v>
      </c>
      <c r="J73" s="103">
        <f t="shared" si="12"/>
        <v>264.3</v>
      </c>
      <c r="K73" s="103">
        <f t="shared" si="12"/>
        <v>33.94</v>
      </c>
      <c r="L73" s="103">
        <f t="shared" si="12"/>
        <v>0.51</v>
      </c>
    </row>
    <row r="74" spans="1:12" s="73" customFormat="1" ht="18" customHeight="1">
      <c r="B74" s="151" t="s">
        <v>314</v>
      </c>
      <c r="C74" s="152"/>
      <c r="D74" s="152"/>
      <c r="E74" s="152"/>
      <c r="F74" s="152"/>
      <c r="G74" s="152"/>
      <c r="H74" s="152"/>
      <c r="I74" s="152"/>
      <c r="J74" s="152"/>
      <c r="K74" s="152"/>
      <c r="L74" s="153"/>
    </row>
    <row r="75" spans="1:12" s="73" customFormat="1" ht="18.75" customHeight="1">
      <c r="B75" s="100" t="s">
        <v>198</v>
      </c>
      <c r="C75" s="111" t="s">
        <v>197</v>
      </c>
      <c r="D75" s="77">
        <v>40</v>
      </c>
      <c r="E75" s="49">
        <v>0.48</v>
      </c>
      <c r="F75" s="49">
        <v>1.89</v>
      </c>
      <c r="G75" s="49">
        <v>3.08</v>
      </c>
      <c r="H75" s="49">
        <v>31</v>
      </c>
      <c r="I75" s="49">
        <v>3</v>
      </c>
      <c r="J75" s="49">
        <v>16</v>
      </c>
      <c r="K75" s="49">
        <v>6</v>
      </c>
      <c r="L75" s="49">
        <v>0.28000000000000003</v>
      </c>
    </row>
    <row r="76" spans="1:12" ht="33" customHeight="1">
      <c r="B76" s="109" t="s">
        <v>201</v>
      </c>
      <c r="C76" s="50" t="s">
        <v>199</v>
      </c>
      <c r="D76" s="51" t="s">
        <v>283</v>
      </c>
      <c r="E76" s="49">
        <v>7.27</v>
      </c>
      <c r="F76" s="49">
        <v>13.15</v>
      </c>
      <c r="G76" s="49">
        <v>20.43</v>
      </c>
      <c r="H76" s="49">
        <v>232.6</v>
      </c>
      <c r="I76" s="49">
        <v>17.440000000000001</v>
      </c>
      <c r="J76" s="49">
        <v>30.36</v>
      </c>
      <c r="K76" s="49">
        <v>1.76</v>
      </c>
      <c r="L76" s="49">
        <v>2.85</v>
      </c>
    </row>
    <row r="77" spans="1:12" s="73" customFormat="1" ht="18" customHeight="1">
      <c r="A77" s="73">
        <v>2</v>
      </c>
      <c r="B77" s="116"/>
      <c r="C77" s="50" t="s">
        <v>16</v>
      </c>
      <c r="D77" s="51">
        <v>20</v>
      </c>
      <c r="E77" s="49">
        <v>1.22</v>
      </c>
      <c r="F77" s="49">
        <v>0.22</v>
      </c>
      <c r="G77" s="49">
        <v>9.8800000000000008</v>
      </c>
      <c r="H77" s="49">
        <v>45.95</v>
      </c>
      <c r="I77" s="49">
        <v>0</v>
      </c>
      <c r="J77" s="49">
        <v>4.5999999999999996</v>
      </c>
      <c r="K77" s="49">
        <v>5</v>
      </c>
      <c r="L77" s="49">
        <v>0.62</v>
      </c>
    </row>
    <row r="78" spans="1:12" ht="18" customHeight="1">
      <c r="A78" s="40">
        <v>2</v>
      </c>
      <c r="B78" s="109"/>
      <c r="C78" s="50" t="s">
        <v>158</v>
      </c>
      <c r="D78" s="51">
        <v>10</v>
      </c>
      <c r="E78" s="49">
        <v>0.79</v>
      </c>
      <c r="F78" s="49">
        <v>0.1</v>
      </c>
      <c r="G78" s="49">
        <v>4.83</v>
      </c>
      <c r="H78" s="49">
        <v>23.5</v>
      </c>
      <c r="I78" s="49">
        <v>0</v>
      </c>
      <c r="J78" s="49">
        <v>2.2999999999999998</v>
      </c>
      <c r="K78" s="49">
        <v>3.3</v>
      </c>
      <c r="L78" s="49">
        <v>0.2</v>
      </c>
    </row>
    <row r="79" spans="1:12" s="73" customFormat="1" ht="18" customHeight="1">
      <c r="B79" s="125" t="s">
        <v>202</v>
      </c>
      <c r="C79" s="50" t="s">
        <v>200</v>
      </c>
      <c r="D79" s="51" t="s">
        <v>279</v>
      </c>
      <c r="E79" s="49">
        <v>0.01</v>
      </c>
      <c r="F79" s="49">
        <v>0.01</v>
      </c>
      <c r="G79" s="49">
        <v>4.99</v>
      </c>
      <c r="H79" s="49">
        <v>19.95</v>
      </c>
      <c r="I79" s="49">
        <v>0.02</v>
      </c>
      <c r="J79" s="49">
        <v>7.94</v>
      </c>
      <c r="K79" s="49">
        <v>0.9</v>
      </c>
      <c r="L79" s="49">
        <v>0.18</v>
      </c>
    </row>
    <row r="80" spans="1:12" ht="18" customHeight="1">
      <c r="A80" s="40">
        <v>2</v>
      </c>
      <c r="B80" s="44"/>
      <c r="C80" s="41" t="s">
        <v>14</v>
      </c>
      <c r="D80" s="42">
        <v>360</v>
      </c>
      <c r="E80" s="41">
        <f>E75+E76+E78+E77+E79</f>
        <v>9.77</v>
      </c>
      <c r="F80" s="125">
        <f t="shared" ref="F80:L80" si="13">F75+F76+F78+F77+F79</f>
        <v>15.370000000000001</v>
      </c>
      <c r="G80" s="125">
        <f t="shared" si="13"/>
        <v>43.21</v>
      </c>
      <c r="H80" s="125">
        <f t="shared" si="13"/>
        <v>353</v>
      </c>
      <c r="I80" s="125">
        <f t="shared" si="13"/>
        <v>20.46</v>
      </c>
      <c r="J80" s="125">
        <f t="shared" si="13"/>
        <v>61.199999999999996</v>
      </c>
      <c r="K80" s="125">
        <f t="shared" si="13"/>
        <v>16.959999999999997</v>
      </c>
      <c r="L80" s="125">
        <f t="shared" si="13"/>
        <v>4.13</v>
      </c>
    </row>
    <row r="81" spans="1:12" ht="18" customHeight="1">
      <c r="A81" s="40">
        <v>2</v>
      </c>
      <c r="B81" s="44"/>
      <c r="C81" s="41" t="s">
        <v>18</v>
      </c>
      <c r="D81" s="42">
        <f>D80+D73+D69+D58+D55</f>
        <v>1770</v>
      </c>
      <c r="E81" s="41">
        <f>E55+E58+E69+E73+E80</f>
        <v>51.230000000000004</v>
      </c>
      <c r="F81" s="100">
        <f t="shared" ref="F81:L81" si="14">F55+F58+F69+F73+F80</f>
        <v>65.844999999999999</v>
      </c>
      <c r="G81" s="100">
        <f t="shared" si="14"/>
        <v>211.15499999999997</v>
      </c>
      <c r="H81" s="100">
        <f t="shared" si="14"/>
        <v>1639.7199999999998</v>
      </c>
      <c r="I81" s="100">
        <f t="shared" si="14"/>
        <v>72.75</v>
      </c>
      <c r="J81" s="100">
        <f t="shared" si="14"/>
        <v>803.7650000000001</v>
      </c>
      <c r="K81" s="100">
        <f t="shared" si="14"/>
        <v>224.39</v>
      </c>
      <c r="L81" s="100">
        <f t="shared" si="14"/>
        <v>15.379999999999999</v>
      </c>
    </row>
    <row r="82" spans="1:12" s="73" customFormat="1" ht="20.100000000000001" customHeight="1">
      <c r="B82" s="145"/>
      <c r="C82" s="145" t="s">
        <v>272</v>
      </c>
      <c r="D82" s="146"/>
      <c r="E82" s="145">
        <v>42</v>
      </c>
      <c r="F82" s="145">
        <v>47</v>
      </c>
      <c r="G82" s="145">
        <v>203</v>
      </c>
      <c r="H82" s="145">
        <v>1400</v>
      </c>
      <c r="I82" s="145">
        <v>45</v>
      </c>
      <c r="J82" s="145">
        <v>800</v>
      </c>
      <c r="K82" s="145">
        <v>80</v>
      </c>
      <c r="L82" s="145">
        <v>10</v>
      </c>
    </row>
    <row r="83" spans="1:12" s="73" customFormat="1" ht="20.100000000000001" customHeight="1">
      <c r="B83" s="147"/>
      <c r="C83" s="147" t="s">
        <v>273</v>
      </c>
      <c r="D83" s="148"/>
      <c r="E83" s="147">
        <f>ROUND(E81/E82*100-100,2)</f>
        <v>21.98</v>
      </c>
      <c r="F83" s="147">
        <f t="shared" ref="F83:L83" si="15">ROUND(F81/F82*100-100,2)</f>
        <v>40.1</v>
      </c>
      <c r="G83" s="147">
        <f t="shared" si="15"/>
        <v>4.0199999999999996</v>
      </c>
      <c r="H83" s="147">
        <f t="shared" si="15"/>
        <v>17.12</v>
      </c>
      <c r="I83" s="147">
        <f t="shared" si="15"/>
        <v>61.67</v>
      </c>
      <c r="J83" s="147">
        <f t="shared" si="15"/>
        <v>0.47</v>
      </c>
      <c r="K83" s="147">
        <f t="shared" si="15"/>
        <v>180.49</v>
      </c>
      <c r="L83" s="147">
        <f t="shared" si="15"/>
        <v>53.8</v>
      </c>
    </row>
    <row r="84" spans="1:12" s="35" customFormat="1" ht="20.100000000000001" customHeight="1">
      <c r="B84" s="36" t="s">
        <v>100</v>
      </c>
      <c r="C84" s="37"/>
      <c r="D84" s="46"/>
      <c r="E84" s="47"/>
      <c r="F84" s="47"/>
      <c r="G84" s="47"/>
      <c r="H84" s="47"/>
      <c r="I84" s="47"/>
      <c r="J84" s="47"/>
      <c r="K84" s="47"/>
      <c r="L84" s="47"/>
    </row>
    <row r="85" spans="1:12" s="35" customFormat="1" ht="20.100000000000001" customHeight="1">
      <c r="B85" s="36" t="s">
        <v>98</v>
      </c>
      <c r="C85" s="37"/>
      <c r="D85" s="46"/>
      <c r="E85" s="47"/>
      <c r="F85" s="47"/>
      <c r="G85" s="47"/>
      <c r="H85" s="47"/>
      <c r="I85" s="47"/>
      <c r="J85" s="47"/>
      <c r="K85" s="47"/>
      <c r="L85" s="47"/>
    </row>
    <row r="86" spans="1:12" s="35" customFormat="1">
      <c r="B86" s="36" t="s">
        <v>278</v>
      </c>
      <c r="C86" s="37"/>
      <c r="D86" s="38"/>
      <c r="E86" s="39"/>
      <c r="F86" s="39"/>
      <c r="G86" s="39"/>
      <c r="H86" s="39"/>
      <c r="I86" s="39"/>
      <c r="J86" s="39"/>
      <c r="K86" s="39"/>
      <c r="L86" s="39"/>
    </row>
    <row r="87" spans="1:12" s="35" customFormat="1" ht="27" customHeight="1">
      <c r="B87" s="155" t="s">
        <v>0</v>
      </c>
      <c r="C87" s="155" t="s">
        <v>1</v>
      </c>
      <c r="D87" s="156" t="s">
        <v>2</v>
      </c>
      <c r="E87" s="154" t="s">
        <v>3</v>
      </c>
      <c r="F87" s="154"/>
      <c r="G87" s="154"/>
      <c r="H87" s="154" t="s">
        <v>4</v>
      </c>
      <c r="I87" s="121"/>
      <c r="J87" s="154" t="s">
        <v>5</v>
      </c>
      <c r="K87" s="154"/>
      <c r="L87" s="154"/>
    </row>
    <row r="88" spans="1:12" s="35" customFormat="1" ht="37.5" customHeight="1">
      <c r="B88" s="155"/>
      <c r="C88" s="155"/>
      <c r="D88" s="156"/>
      <c r="E88" s="41" t="s">
        <v>6</v>
      </c>
      <c r="F88" s="41" t="s">
        <v>7</v>
      </c>
      <c r="G88" s="41" t="s">
        <v>8</v>
      </c>
      <c r="H88" s="154"/>
      <c r="I88" s="41" t="s">
        <v>9</v>
      </c>
      <c r="J88" s="41" t="s">
        <v>10</v>
      </c>
      <c r="K88" s="41" t="s">
        <v>11</v>
      </c>
      <c r="L88" s="41" t="s">
        <v>12</v>
      </c>
    </row>
    <row r="89" spans="1:12" ht="18" customHeight="1">
      <c r="A89" s="40">
        <v>3</v>
      </c>
      <c r="B89" s="154" t="s">
        <v>315</v>
      </c>
      <c r="C89" s="154"/>
      <c r="D89" s="154"/>
      <c r="E89" s="154"/>
      <c r="F89" s="154"/>
      <c r="G89" s="154"/>
      <c r="H89" s="154"/>
      <c r="I89" s="154"/>
      <c r="J89" s="154"/>
      <c r="K89" s="154"/>
      <c r="L89" s="154"/>
    </row>
    <row r="90" spans="1:12" ht="30.6" customHeight="1">
      <c r="A90" s="40">
        <v>3</v>
      </c>
      <c r="B90" s="41"/>
      <c r="C90" s="25"/>
      <c r="D90" s="77"/>
      <c r="E90" s="43"/>
      <c r="F90" s="43"/>
      <c r="G90" s="43"/>
      <c r="H90" s="43"/>
      <c r="I90" s="43"/>
      <c r="J90" s="43"/>
      <c r="K90" s="43"/>
      <c r="L90" s="43"/>
    </row>
    <row r="91" spans="1:12" ht="35.450000000000003" customHeight="1">
      <c r="A91" s="40">
        <v>3</v>
      </c>
      <c r="B91" s="57" t="s">
        <v>204</v>
      </c>
      <c r="C91" s="25" t="s">
        <v>203</v>
      </c>
      <c r="D91" s="75" t="s">
        <v>279</v>
      </c>
      <c r="E91" s="43">
        <v>5.88</v>
      </c>
      <c r="F91" s="43">
        <v>6.96</v>
      </c>
      <c r="G91" s="43">
        <v>25.91</v>
      </c>
      <c r="H91" s="43">
        <v>190.54</v>
      </c>
      <c r="I91" s="43">
        <v>0.88</v>
      </c>
      <c r="J91" s="43">
        <v>114.59</v>
      </c>
      <c r="K91" s="43">
        <v>45.86</v>
      </c>
      <c r="L91" s="43">
        <v>1.29</v>
      </c>
    </row>
    <row r="92" spans="1:12" s="73" customFormat="1" ht="35.450000000000003" customHeight="1">
      <c r="B92" s="57" t="s">
        <v>285</v>
      </c>
      <c r="C92" s="72" t="s">
        <v>290</v>
      </c>
      <c r="D92" s="128" t="s">
        <v>286</v>
      </c>
      <c r="E92" s="43">
        <v>6.42</v>
      </c>
      <c r="F92" s="43">
        <v>8.77</v>
      </c>
      <c r="G92" s="43">
        <v>3.96</v>
      </c>
      <c r="H92" s="43">
        <v>120</v>
      </c>
      <c r="I92" s="43">
        <v>0.21</v>
      </c>
      <c r="J92" s="43">
        <v>51.2</v>
      </c>
      <c r="K92" s="43">
        <v>10.1</v>
      </c>
      <c r="L92" s="43">
        <v>1.32</v>
      </c>
    </row>
    <row r="93" spans="1:12" s="73" customFormat="1" ht="25.15" customHeight="1">
      <c r="B93" s="57"/>
      <c r="C93" s="72" t="s">
        <v>158</v>
      </c>
      <c r="D93" s="128">
        <v>20</v>
      </c>
      <c r="E93" s="43">
        <v>1.58</v>
      </c>
      <c r="F93" s="43">
        <v>0.2</v>
      </c>
      <c r="G93" s="43">
        <v>9.66</v>
      </c>
      <c r="H93" s="43">
        <v>47</v>
      </c>
      <c r="I93" s="43">
        <v>0</v>
      </c>
      <c r="J93" s="43">
        <v>4.5999999999999996</v>
      </c>
      <c r="K93" s="43">
        <v>6.6</v>
      </c>
      <c r="L93" s="43">
        <v>0.4</v>
      </c>
    </row>
    <row r="94" spans="1:12" s="73" customFormat="1" ht="18" customHeight="1">
      <c r="A94" s="73">
        <v>3</v>
      </c>
      <c r="B94" s="74" t="s">
        <v>206</v>
      </c>
      <c r="C94" s="72" t="s">
        <v>205</v>
      </c>
      <c r="D94" s="75">
        <v>150</v>
      </c>
      <c r="E94" s="43">
        <v>2.65</v>
      </c>
      <c r="F94" s="43">
        <v>2.33</v>
      </c>
      <c r="G94" s="43">
        <v>9.31</v>
      </c>
      <c r="H94" s="43">
        <v>69</v>
      </c>
      <c r="I94" s="43">
        <v>1.19</v>
      </c>
      <c r="J94" s="43">
        <v>112</v>
      </c>
      <c r="K94" s="43">
        <v>13.5</v>
      </c>
      <c r="L94" s="43">
        <v>0.28000000000000003</v>
      </c>
    </row>
    <row r="95" spans="1:12" s="73" customFormat="1" ht="18" customHeight="1">
      <c r="A95" s="73">
        <v>3</v>
      </c>
      <c r="B95" s="74"/>
      <c r="C95" s="74" t="s">
        <v>14</v>
      </c>
      <c r="D95" s="83">
        <v>390</v>
      </c>
      <c r="E95" s="74">
        <f>E90+E91+E94+E92+E93</f>
        <v>16.53</v>
      </c>
      <c r="F95" s="127">
        <f t="shared" ref="F95:L95" si="16">F90+F91+F94+F92+F93</f>
        <v>18.259999999999998</v>
      </c>
      <c r="G95" s="127">
        <f t="shared" si="16"/>
        <v>48.84</v>
      </c>
      <c r="H95" s="127">
        <f t="shared" si="16"/>
        <v>426.53999999999996</v>
      </c>
      <c r="I95" s="127">
        <f t="shared" si="16"/>
        <v>2.2799999999999998</v>
      </c>
      <c r="J95" s="127">
        <f t="shared" si="16"/>
        <v>282.39000000000004</v>
      </c>
      <c r="K95" s="127">
        <f t="shared" si="16"/>
        <v>76.059999999999988</v>
      </c>
      <c r="L95" s="127">
        <f t="shared" si="16"/>
        <v>3.29</v>
      </c>
    </row>
    <row r="96" spans="1:12" s="73" customFormat="1" ht="18" customHeight="1">
      <c r="B96" s="151" t="s">
        <v>316</v>
      </c>
      <c r="C96" s="152"/>
      <c r="D96" s="152"/>
      <c r="E96" s="152"/>
      <c r="F96" s="152"/>
      <c r="G96" s="152"/>
      <c r="H96" s="152"/>
      <c r="I96" s="152"/>
      <c r="J96" s="152"/>
      <c r="K96" s="152"/>
      <c r="L96" s="153"/>
    </row>
    <row r="97" spans="1:12" s="73" customFormat="1" ht="18" customHeight="1">
      <c r="B97" s="74" t="s">
        <v>163</v>
      </c>
      <c r="C97" s="72" t="s">
        <v>162</v>
      </c>
      <c r="D97" s="77">
        <v>150</v>
      </c>
      <c r="E97" s="43">
        <v>0.75</v>
      </c>
      <c r="F97" s="43">
        <v>0</v>
      </c>
      <c r="G97" s="43">
        <v>15.15</v>
      </c>
      <c r="H97" s="43">
        <v>64</v>
      </c>
      <c r="I97" s="43">
        <v>3</v>
      </c>
      <c r="J97" s="43">
        <v>10.5</v>
      </c>
      <c r="K97" s="43">
        <v>6</v>
      </c>
      <c r="L97" s="43">
        <v>2.1</v>
      </c>
    </row>
    <row r="98" spans="1:12" ht="18" customHeight="1">
      <c r="B98" s="74"/>
      <c r="C98" s="134" t="s">
        <v>14</v>
      </c>
      <c r="D98" s="42">
        <f>D97</f>
        <v>150</v>
      </c>
      <c r="E98" s="57">
        <f>E97</f>
        <v>0.75</v>
      </c>
      <c r="F98" s="57">
        <f t="shared" ref="F98:L98" si="17">F97</f>
        <v>0</v>
      </c>
      <c r="G98" s="57">
        <f t="shared" si="17"/>
        <v>15.15</v>
      </c>
      <c r="H98" s="57">
        <f t="shared" si="17"/>
        <v>64</v>
      </c>
      <c r="I98" s="57">
        <f t="shared" si="17"/>
        <v>3</v>
      </c>
      <c r="J98" s="57">
        <f t="shared" si="17"/>
        <v>10.5</v>
      </c>
      <c r="K98" s="57">
        <f t="shared" si="17"/>
        <v>6</v>
      </c>
      <c r="L98" s="57">
        <f t="shared" si="17"/>
        <v>2.1</v>
      </c>
    </row>
    <row r="99" spans="1:12" ht="18" customHeight="1">
      <c r="A99" s="40">
        <v>3</v>
      </c>
      <c r="B99" s="154" t="s">
        <v>317</v>
      </c>
      <c r="C99" s="154"/>
      <c r="D99" s="154"/>
      <c r="E99" s="154"/>
      <c r="F99" s="154"/>
      <c r="G99" s="154"/>
      <c r="H99" s="154"/>
      <c r="I99" s="154"/>
      <c r="J99" s="154"/>
      <c r="K99" s="154"/>
      <c r="L99" s="154"/>
    </row>
    <row r="100" spans="1:12" s="73" customFormat="1" ht="18" customHeight="1">
      <c r="B100" s="77" t="s">
        <v>198</v>
      </c>
      <c r="C100" s="72" t="s">
        <v>197</v>
      </c>
      <c r="D100" s="77">
        <v>40</v>
      </c>
      <c r="E100" s="43">
        <v>0.48</v>
      </c>
      <c r="F100" s="43">
        <v>1.89</v>
      </c>
      <c r="G100" s="43">
        <v>3.08</v>
      </c>
      <c r="H100" s="43">
        <v>31</v>
      </c>
      <c r="I100" s="43">
        <v>3</v>
      </c>
      <c r="J100" s="43">
        <v>16</v>
      </c>
      <c r="K100" s="43">
        <v>6</v>
      </c>
      <c r="L100" s="43">
        <v>0.28000000000000003</v>
      </c>
    </row>
    <row r="101" spans="1:12" ht="18" customHeight="1">
      <c r="B101" s="74" t="s">
        <v>208</v>
      </c>
      <c r="C101" s="25" t="s">
        <v>207</v>
      </c>
      <c r="D101" s="77" t="s">
        <v>287</v>
      </c>
      <c r="E101" s="76">
        <v>1.7</v>
      </c>
      <c r="F101" s="76">
        <v>7.92</v>
      </c>
      <c r="G101" s="76">
        <v>10.54</v>
      </c>
      <c r="H101" s="76">
        <v>102.5</v>
      </c>
      <c r="I101" s="76">
        <v>8.2799999999999994</v>
      </c>
      <c r="J101" s="76">
        <v>44</v>
      </c>
      <c r="K101" s="76">
        <v>22</v>
      </c>
      <c r="L101" s="76">
        <v>0.95</v>
      </c>
    </row>
    <row r="102" spans="1:12" ht="31.9" customHeight="1">
      <c r="B102" s="74" t="s">
        <v>210</v>
      </c>
      <c r="C102" s="72" t="s">
        <v>209</v>
      </c>
      <c r="D102" s="77">
        <v>60</v>
      </c>
      <c r="E102" s="76">
        <v>7.64</v>
      </c>
      <c r="F102" s="76">
        <v>10.93</v>
      </c>
      <c r="G102" s="76">
        <v>6.23</v>
      </c>
      <c r="H102" s="76">
        <v>154</v>
      </c>
      <c r="I102" s="76">
        <v>0.24</v>
      </c>
      <c r="J102" s="76">
        <v>52.7</v>
      </c>
      <c r="K102" s="76">
        <v>13</v>
      </c>
      <c r="L102" s="76">
        <v>0.77</v>
      </c>
    </row>
    <row r="103" spans="1:12" ht="18" customHeight="1">
      <c r="B103" s="74" t="s">
        <v>212</v>
      </c>
      <c r="C103" s="72" t="s">
        <v>211</v>
      </c>
      <c r="D103" s="42">
        <v>110</v>
      </c>
      <c r="E103" s="76">
        <v>1.65</v>
      </c>
      <c r="F103" s="76">
        <v>2.81</v>
      </c>
      <c r="G103" s="76">
        <v>17.079999999999998</v>
      </c>
      <c r="H103" s="76">
        <v>100</v>
      </c>
      <c r="I103" s="76">
        <v>0.78</v>
      </c>
      <c r="J103" s="76">
        <v>3.19</v>
      </c>
      <c r="K103" s="76">
        <v>11.64</v>
      </c>
      <c r="L103" s="76">
        <v>0.25</v>
      </c>
    </row>
    <row r="104" spans="1:12" ht="20.25" customHeight="1">
      <c r="B104" s="74" t="s">
        <v>184</v>
      </c>
      <c r="C104" s="72" t="s">
        <v>40</v>
      </c>
      <c r="D104" s="42">
        <v>180</v>
      </c>
      <c r="E104" s="76">
        <v>0.18</v>
      </c>
      <c r="F104" s="76">
        <v>0.09</v>
      </c>
      <c r="G104" s="76">
        <v>10.98</v>
      </c>
      <c r="H104" s="76">
        <v>44.1</v>
      </c>
      <c r="I104" s="76">
        <v>1.44</v>
      </c>
      <c r="J104" s="76">
        <v>5.29</v>
      </c>
      <c r="K104" s="76">
        <v>2.82</v>
      </c>
      <c r="L104" s="76">
        <v>0.71</v>
      </c>
    </row>
    <row r="105" spans="1:12" ht="18" customHeight="1">
      <c r="B105" s="74"/>
      <c r="C105" s="25" t="s">
        <v>16</v>
      </c>
      <c r="D105" s="42">
        <v>20</v>
      </c>
      <c r="E105" s="76">
        <v>1.22</v>
      </c>
      <c r="F105" s="76">
        <v>0.22</v>
      </c>
      <c r="G105" s="76">
        <v>9.8800000000000008</v>
      </c>
      <c r="H105" s="76">
        <v>45.95</v>
      </c>
      <c r="I105" s="76">
        <v>0</v>
      </c>
      <c r="J105" s="76">
        <v>4.5999999999999996</v>
      </c>
      <c r="K105" s="76">
        <v>5</v>
      </c>
      <c r="L105" s="76">
        <v>0.62</v>
      </c>
    </row>
    <row r="106" spans="1:12" ht="18" customHeight="1">
      <c r="A106" s="40">
        <v>3</v>
      </c>
      <c r="B106" s="74"/>
      <c r="C106" s="25" t="s">
        <v>136</v>
      </c>
      <c r="D106" s="42">
        <v>10</v>
      </c>
      <c r="E106" s="76">
        <v>0.79</v>
      </c>
      <c r="F106" s="76">
        <v>0.1</v>
      </c>
      <c r="G106" s="76">
        <v>4.83</v>
      </c>
      <c r="H106" s="76">
        <v>23.5</v>
      </c>
      <c r="I106" s="76">
        <v>0</v>
      </c>
      <c r="J106" s="76">
        <v>2.2999999999999998</v>
      </c>
      <c r="K106" s="76">
        <v>3.3</v>
      </c>
      <c r="L106" s="76">
        <v>0.2</v>
      </c>
    </row>
    <row r="107" spans="1:12" ht="18" customHeight="1">
      <c r="A107" s="40">
        <v>3</v>
      </c>
      <c r="B107" s="41"/>
      <c r="C107" s="41" t="s">
        <v>14</v>
      </c>
      <c r="D107" s="42">
        <v>630</v>
      </c>
      <c r="E107" s="41">
        <f>E100+E101+E102+E103+E104+E105+E106</f>
        <v>13.66</v>
      </c>
      <c r="F107" s="118">
        <f t="shared" ref="F107:L107" si="18">F100+F101+F102+F103+F104+F105+F106</f>
        <v>23.96</v>
      </c>
      <c r="G107" s="118">
        <f t="shared" si="18"/>
        <v>62.62</v>
      </c>
      <c r="H107" s="118">
        <f t="shared" si="18"/>
        <v>501.05</v>
      </c>
      <c r="I107" s="118">
        <f t="shared" si="18"/>
        <v>13.739999999999998</v>
      </c>
      <c r="J107" s="118">
        <f t="shared" si="18"/>
        <v>128.08000000000001</v>
      </c>
      <c r="K107" s="118">
        <f t="shared" si="18"/>
        <v>63.76</v>
      </c>
      <c r="L107" s="118">
        <f t="shared" si="18"/>
        <v>3.7800000000000002</v>
      </c>
    </row>
    <row r="108" spans="1:12" ht="18" customHeight="1">
      <c r="B108" s="154" t="s">
        <v>318</v>
      </c>
      <c r="C108" s="154"/>
      <c r="D108" s="154"/>
      <c r="E108" s="154"/>
      <c r="F108" s="154"/>
      <c r="G108" s="154"/>
      <c r="H108" s="154"/>
      <c r="I108" s="154"/>
      <c r="J108" s="154"/>
      <c r="K108" s="154"/>
      <c r="L108" s="154"/>
    </row>
    <row r="109" spans="1:12" s="73" customFormat="1" ht="37.15" customHeight="1">
      <c r="B109" s="100" t="s">
        <v>288</v>
      </c>
      <c r="C109" s="72" t="s">
        <v>289</v>
      </c>
      <c r="D109" s="77">
        <v>50</v>
      </c>
      <c r="E109" s="76">
        <v>6.3</v>
      </c>
      <c r="F109" s="76">
        <v>2.85</v>
      </c>
      <c r="G109" s="76">
        <v>18.149999999999999</v>
      </c>
      <c r="H109" s="76">
        <v>123</v>
      </c>
      <c r="I109" s="76">
        <v>0.05</v>
      </c>
      <c r="J109" s="76">
        <v>10.7</v>
      </c>
      <c r="K109" s="76">
        <v>15.8</v>
      </c>
      <c r="L109" s="76">
        <v>0.71</v>
      </c>
    </row>
    <row r="110" spans="1:12" s="73" customFormat="1" ht="18" customHeight="1">
      <c r="B110" s="100" t="s">
        <v>202</v>
      </c>
      <c r="C110" s="72" t="s">
        <v>200</v>
      </c>
      <c r="D110" s="77" t="s">
        <v>279</v>
      </c>
      <c r="E110" s="76">
        <v>0.01</v>
      </c>
      <c r="F110" s="76">
        <v>0.01</v>
      </c>
      <c r="G110" s="76">
        <v>4.99</v>
      </c>
      <c r="H110" s="76">
        <v>19.95</v>
      </c>
      <c r="I110" s="76">
        <v>0.02</v>
      </c>
      <c r="J110" s="76">
        <v>7.94</v>
      </c>
      <c r="K110" s="76">
        <v>0.9</v>
      </c>
      <c r="L110" s="76">
        <v>0.18</v>
      </c>
    </row>
    <row r="111" spans="1:12" s="73" customFormat="1" ht="18" customHeight="1">
      <c r="B111" s="100"/>
      <c r="C111" s="100" t="s">
        <v>14</v>
      </c>
      <c r="D111" s="77">
        <v>205</v>
      </c>
      <c r="E111" s="100">
        <f>E109+E110</f>
        <v>6.31</v>
      </c>
      <c r="F111" s="100">
        <f t="shared" ref="F111:L111" si="19">F109+F110</f>
        <v>2.86</v>
      </c>
      <c r="G111" s="100">
        <f t="shared" si="19"/>
        <v>23.14</v>
      </c>
      <c r="H111" s="100">
        <f t="shared" si="19"/>
        <v>142.94999999999999</v>
      </c>
      <c r="I111" s="100">
        <f t="shared" si="19"/>
        <v>7.0000000000000007E-2</v>
      </c>
      <c r="J111" s="100">
        <f t="shared" si="19"/>
        <v>18.64</v>
      </c>
      <c r="K111" s="100">
        <f t="shared" si="19"/>
        <v>16.7</v>
      </c>
      <c r="L111" s="100">
        <f t="shared" si="19"/>
        <v>0.8899999999999999</v>
      </c>
    </row>
    <row r="112" spans="1:12" s="73" customFormat="1" ht="18" customHeight="1">
      <c r="B112" s="151" t="s">
        <v>319</v>
      </c>
      <c r="C112" s="152"/>
      <c r="D112" s="152"/>
      <c r="E112" s="152"/>
      <c r="F112" s="152"/>
      <c r="G112" s="152"/>
      <c r="H112" s="152"/>
      <c r="I112" s="152"/>
      <c r="J112" s="152"/>
      <c r="K112" s="152"/>
      <c r="L112" s="153"/>
    </row>
    <row r="113" spans="1:12" ht="30" customHeight="1">
      <c r="A113" s="40">
        <v>3</v>
      </c>
      <c r="B113" s="64" t="s">
        <v>214</v>
      </c>
      <c r="C113" s="25" t="s">
        <v>213</v>
      </c>
      <c r="D113" s="77">
        <v>60</v>
      </c>
      <c r="E113" s="44">
        <v>9.4600000000000009</v>
      </c>
      <c r="F113" s="76">
        <v>6.4</v>
      </c>
      <c r="G113" s="76">
        <v>2.88</v>
      </c>
      <c r="H113" s="76">
        <v>112.88</v>
      </c>
      <c r="I113" s="76">
        <v>0.12</v>
      </c>
      <c r="J113" s="76">
        <v>30.68</v>
      </c>
      <c r="K113" s="76">
        <v>16.73</v>
      </c>
      <c r="L113" s="76">
        <v>0.56000000000000005</v>
      </c>
    </row>
    <row r="114" spans="1:12" s="73" customFormat="1" ht="18" customHeight="1">
      <c r="B114" s="112" t="s">
        <v>216</v>
      </c>
      <c r="C114" s="72" t="s">
        <v>215</v>
      </c>
      <c r="D114" s="113">
        <v>110</v>
      </c>
      <c r="E114" s="76">
        <v>3.37</v>
      </c>
      <c r="F114" s="76">
        <v>5.87</v>
      </c>
      <c r="G114" s="76">
        <v>13.42</v>
      </c>
      <c r="H114" s="76">
        <v>120.27</v>
      </c>
      <c r="I114" s="76">
        <v>17</v>
      </c>
      <c r="J114" s="76">
        <v>80.22</v>
      </c>
      <c r="K114" s="76">
        <v>41.3</v>
      </c>
      <c r="L114" s="76">
        <v>0.98</v>
      </c>
    </row>
    <row r="115" spans="1:12" s="73" customFormat="1" ht="18" customHeight="1">
      <c r="B115" s="127" t="s">
        <v>218</v>
      </c>
      <c r="C115" s="72" t="s">
        <v>217</v>
      </c>
      <c r="D115" s="128">
        <v>40</v>
      </c>
      <c r="E115" s="76">
        <v>0.45</v>
      </c>
      <c r="F115" s="76">
        <v>2.0299999999999998</v>
      </c>
      <c r="G115" s="76">
        <v>6.5</v>
      </c>
      <c r="H115" s="76">
        <v>45</v>
      </c>
      <c r="I115" s="76">
        <v>0.78</v>
      </c>
      <c r="J115" s="76">
        <v>9.3000000000000007</v>
      </c>
      <c r="K115" s="76">
        <v>12.8</v>
      </c>
      <c r="L115" s="76">
        <v>0.25</v>
      </c>
    </row>
    <row r="116" spans="1:12" s="73" customFormat="1" ht="18" customHeight="1">
      <c r="B116" s="127" t="s">
        <v>146</v>
      </c>
      <c r="C116" s="72" t="s">
        <v>132</v>
      </c>
      <c r="D116" s="128">
        <v>40</v>
      </c>
      <c r="E116" s="76">
        <v>0.39</v>
      </c>
      <c r="F116" s="76">
        <v>2.46</v>
      </c>
      <c r="G116" s="76">
        <v>1.49</v>
      </c>
      <c r="H116" s="76">
        <v>29.68</v>
      </c>
      <c r="I116" s="76">
        <v>6.7</v>
      </c>
      <c r="J116" s="76">
        <v>7.47</v>
      </c>
      <c r="K116" s="76">
        <v>6.5</v>
      </c>
      <c r="L116" s="76">
        <v>0.3</v>
      </c>
    </row>
    <row r="117" spans="1:12" s="73" customFormat="1" ht="18" customHeight="1">
      <c r="B117" s="127"/>
      <c r="C117" s="72" t="s">
        <v>72</v>
      </c>
      <c r="D117" s="128"/>
      <c r="E117" s="127">
        <f>SUM(E115:E116)/2</f>
        <v>0.42000000000000004</v>
      </c>
      <c r="F117" s="127">
        <f t="shared" ref="F117" si="20">SUM(F115:F116)/2</f>
        <v>2.2450000000000001</v>
      </c>
      <c r="G117" s="127">
        <f t="shared" ref="G117:L117" si="21">SUM(G115:G116)/2</f>
        <v>3.9950000000000001</v>
      </c>
      <c r="H117" s="127">
        <f t="shared" si="21"/>
        <v>37.340000000000003</v>
      </c>
      <c r="I117" s="127">
        <f t="shared" si="21"/>
        <v>3.74</v>
      </c>
      <c r="J117" s="127">
        <f t="shared" si="21"/>
        <v>8.3849999999999998</v>
      </c>
      <c r="K117" s="127">
        <f t="shared" si="21"/>
        <v>9.65</v>
      </c>
      <c r="L117" s="127">
        <f t="shared" si="21"/>
        <v>0.27500000000000002</v>
      </c>
    </row>
    <row r="118" spans="1:12" s="73" customFormat="1" ht="18" customHeight="1">
      <c r="A118" s="73">
        <v>3</v>
      </c>
      <c r="B118" s="77" t="s">
        <v>355</v>
      </c>
      <c r="C118" s="72" t="s">
        <v>130</v>
      </c>
      <c r="D118" s="99">
        <v>120</v>
      </c>
      <c r="E118" s="76">
        <v>0.48</v>
      </c>
      <c r="F118" s="76">
        <v>0.48</v>
      </c>
      <c r="G118" s="76">
        <v>11.76</v>
      </c>
      <c r="H118" s="76">
        <v>56</v>
      </c>
      <c r="I118" s="76">
        <v>12</v>
      </c>
      <c r="J118" s="76">
        <v>19.2</v>
      </c>
      <c r="K118" s="76">
        <v>10.8</v>
      </c>
      <c r="L118" s="76">
        <v>2.64</v>
      </c>
    </row>
    <row r="119" spans="1:12" s="73" customFormat="1" ht="18" customHeight="1">
      <c r="B119" s="77"/>
      <c r="C119" s="72" t="s">
        <v>16</v>
      </c>
      <c r="D119" s="128">
        <v>20</v>
      </c>
      <c r="E119" s="76">
        <v>1.22</v>
      </c>
      <c r="F119" s="76">
        <v>0.22</v>
      </c>
      <c r="G119" s="76">
        <v>9.8800000000000008</v>
      </c>
      <c r="H119" s="76">
        <v>45.95</v>
      </c>
      <c r="I119" s="76">
        <v>0</v>
      </c>
      <c r="J119" s="76">
        <v>4.5999999999999996</v>
      </c>
      <c r="K119" s="76">
        <v>5</v>
      </c>
      <c r="L119" s="76">
        <v>0.62</v>
      </c>
    </row>
    <row r="120" spans="1:12" s="73" customFormat="1" ht="18" customHeight="1">
      <c r="B120" s="77"/>
      <c r="C120" s="72" t="s">
        <v>158</v>
      </c>
      <c r="D120" s="128">
        <v>20</v>
      </c>
      <c r="E120" s="76">
        <v>1.58</v>
      </c>
      <c r="F120" s="76">
        <v>0.2</v>
      </c>
      <c r="G120" s="76">
        <v>9.66</v>
      </c>
      <c r="H120" s="76">
        <v>47</v>
      </c>
      <c r="I120" s="76">
        <v>0</v>
      </c>
      <c r="J120" s="76">
        <v>4.5999999999999996</v>
      </c>
      <c r="K120" s="76">
        <v>6.6</v>
      </c>
      <c r="L120" s="76">
        <v>0.4</v>
      </c>
    </row>
    <row r="121" spans="1:12" s="73" customFormat="1" ht="18" customHeight="1">
      <c r="B121" s="77" t="s">
        <v>202</v>
      </c>
      <c r="C121" s="72" t="s">
        <v>200</v>
      </c>
      <c r="D121" s="128" t="s">
        <v>279</v>
      </c>
      <c r="E121" s="76">
        <v>0.01</v>
      </c>
      <c r="F121" s="76">
        <v>0.01</v>
      </c>
      <c r="G121" s="76">
        <v>4.99</v>
      </c>
      <c r="H121" s="76">
        <v>19.95</v>
      </c>
      <c r="I121" s="76">
        <v>0.02</v>
      </c>
      <c r="J121" s="76">
        <v>7.94</v>
      </c>
      <c r="K121" s="76">
        <v>0.9</v>
      </c>
      <c r="L121" s="76">
        <v>0.18</v>
      </c>
    </row>
    <row r="122" spans="1:12" ht="18" customHeight="1">
      <c r="A122" s="40">
        <v>3</v>
      </c>
      <c r="B122" s="41"/>
      <c r="C122" s="41" t="s">
        <v>14</v>
      </c>
      <c r="D122" s="42">
        <v>525</v>
      </c>
      <c r="E122" s="100">
        <f>E113+E114+E118+E117+E121+E120+E119</f>
        <v>16.540000000000003</v>
      </c>
      <c r="F122" s="127">
        <f t="shared" ref="F122:L122" si="22">F113+F114+F118+F117+F121+F120+F119</f>
        <v>15.425000000000001</v>
      </c>
      <c r="G122" s="127">
        <f t="shared" si="22"/>
        <v>56.585000000000001</v>
      </c>
      <c r="H122" s="127">
        <f t="shared" si="22"/>
        <v>439.39</v>
      </c>
      <c r="I122" s="127">
        <f t="shared" si="22"/>
        <v>32.880000000000003</v>
      </c>
      <c r="J122" s="127">
        <f t="shared" si="22"/>
        <v>155.62499999999997</v>
      </c>
      <c r="K122" s="127">
        <f t="shared" si="22"/>
        <v>90.98</v>
      </c>
      <c r="L122" s="127">
        <f t="shared" si="22"/>
        <v>5.6550000000000002</v>
      </c>
    </row>
    <row r="123" spans="1:12" ht="18" customHeight="1">
      <c r="A123" s="40">
        <v>3</v>
      </c>
      <c r="B123" s="41"/>
      <c r="C123" s="41" t="s">
        <v>19</v>
      </c>
      <c r="D123" s="42">
        <f>D95+D98+D107+D111+D122</f>
        <v>1900</v>
      </c>
      <c r="E123" s="41">
        <f>E95+E98+E107+E122+E111</f>
        <v>53.790000000000006</v>
      </c>
      <c r="F123" s="118">
        <f t="shared" ref="F123:L123" si="23">F95+F98+F107+F122+F111</f>
        <v>60.504999999999995</v>
      </c>
      <c r="G123" s="118">
        <f t="shared" si="23"/>
        <v>206.33499999999998</v>
      </c>
      <c r="H123" s="118">
        <f t="shared" si="23"/>
        <v>1573.93</v>
      </c>
      <c r="I123" s="118">
        <f t="shared" si="23"/>
        <v>51.97</v>
      </c>
      <c r="J123" s="118">
        <f t="shared" si="23"/>
        <v>595.23500000000001</v>
      </c>
      <c r="K123" s="118">
        <f t="shared" si="23"/>
        <v>253.5</v>
      </c>
      <c r="L123" s="118">
        <f t="shared" si="23"/>
        <v>15.715000000000003</v>
      </c>
    </row>
    <row r="124" spans="1:12" s="73" customFormat="1" ht="20.100000000000001" customHeight="1">
      <c r="B124" s="145"/>
      <c r="C124" s="145" t="s">
        <v>272</v>
      </c>
      <c r="D124" s="146"/>
      <c r="E124" s="145">
        <v>42</v>
      </c>
      <c r="F124" s="145">
        <v>47</v>
      </c>
      <c r="G124" s="145">
        <v>203</v>
      </c>
      <c r="H124" s="145">
        <v>1400</v>
      </c>
      <c r="I124" s="145">
        <v>45</v>
      </c>
      <c r="J124" s="145">
        <v>800</v>
      </c>
      <c r="K124" s="145">
        <v>80</v>
      </c>
      <c r="L124" s="145">
        <v>10</v>
      </c>
    </row>
    <row r="125" spans="1:12" s="73" customFormat="1" ht="20.100000000000001" customHeight="1">
      <c r="B125" s="147"/>
      <c r="C125" s="147" t="s">
        <v>273</v>
      </c>
      <c r="D125" s="148"/>
      <c r="E125" s="147">
        <f>ROUND(E123/E124*100-100,2)</f>
        <v>28.07</v>
      </c>
      <c r="F125" s="147">
        <f t="shared" ref="F125:L125" si="24">ROUND(F123/F124*100-100,2)</f>
        <v>28.73</v>
      </c>
      <c r="G125" s="147">
        <f t="shared" si="24"/>
        <v>1.64</v>
      </c>
      <c r="H125" s="147">
        <f t="shared" si="24"/>
        <v>12.42</v>
      </c>
      <c r="I125" s="147">
        <f t="shared" si="24"/>
        <v>15.49</v>
      </c>
      <c r="J125" s="147">
        <f t="shared" si="24"/>
        <v>-25.6</v>
      </c>
      <c r="K125" s="147">
        <f t="shared" si="24"/>
        <v>216.88</v>
      </c>
      <c r="L125" s="147">
        <f t="shared" si="24"/>
        <v>57.15</v>
      </c>
    </row>
    <row r="126" spans="1:12" s="35" customFormat="1" ht="20.100000000000001" customHeight="1">
      <c r="B126" s="36" t="s">
        <v>101</v>
      </c>
      <c r="C126" s="37"/>
      <c r="D126" s="46"/>
      <c r="E126" s="47"/>
      <c r="F126" s="47"/>
      <c r="G126" s="47"/>
      <c r="H126" s="47"/>
      <c r="I126" s="47"/>
      <c r="J126" s="47"/>
      <c r="K126" s="47"/>
      <c r="L126" s="47"/>
    </row>
    <row r="127" spans="1:12" s="35" customFormat="1" ht="20.100000000000001" customHeight="1">
      <c r="B127" s="36" t="s">
        <v>98</v>
      </c>
      <c r="C127" s="37"/>
      <c r="D127" s="46"/>
      <c r="E127" s="47"/>
      <c r="F127" s="47"/>
      <c r="G127" s="47"/>
      <c r="H127" s="47"/>
      <c r="I127" s="47"/>
      <c r="J127" s="47"/>
      <c r="K127" s="47"/>
      <c r="L127" s="47"/>
    </row>
    <row r="128" spans="1:12" s="35" customFormat="1">
      <c r="B128" s="36" t="s">
        <v>276</v>
      </c>
      <c r="C128" s="37"/>
      <c r="D128" s="38"/>
      <c r="E128" s="39"/>
      <c r="F128" s="39"/>
      <c r="G128" s="39"/>
      <c r="H128" s="39"/>
      <c r="I128" s="39"/>
      <c r="J128" s="39"/>
      <c r="K128" s="39"/>
      <c r="L128" s="39"/>
    </row>
    <row r="129" spans="1:12" s="35" customFormat="1" ht="20.100000000000001" customHeight="1">
      <c r="B129" s="45"/>
      <c r="C129" s="45"/>
      <c r="D129" s="46"/>
      <c r="E129" s="47"/>
      <c r="F129" s="47"/>
      <c r="G129" s="47"/>
      <c r="H129" s="47"/>
      <c r="I129" s="47"/>
      <c r="J129" s="47"/>
      <c r="K129" s="47"/>
      <c r="L129" s="47"/>
    </row>
    <row r="130" spans="1:12" s="35" customFormat="1" ht="32.25" customHeight="1">
      <c r="B130" s="155" t="s">
        <v>0</v>
      </c>
      <c r="C130" s="155" t="s">
        <v>1</v>
      </c>
      <c r="D130" s="156" t="s">
        <v>2</v>
      </c>
      <c r="E130" s="154" t="s">
        <v>3</v>
      </c>
      <c r="F130" s="154"/>
      <c r="G130" s="154"/>
      <c r="H130" s="154" t="s">
        <v>4</v>
      </c>
      <c r="I130" s="121"/>
      <c r="J130" s="154" t="s">
        <v>5</v>
      </c>
      <c r="K130" s="154"/>
      <c r="L130" s="154"/>
    </row>
    <row r="131" spans="1:12" s="35" customFormat="1" ht="33" customHeight="1">
      <c r="B131" s="155"/>
      <c r="C131" s="155"/>
      <c r="D131" s="156"/>
      <c r="E131" s="41" t="s">
        <v>6</v>
      </c>
      <c r="F131" s="41" t="s">
        <v>7</v>
      </c>
      <c r="G131" s="41" t="s">
        <v>8</v>
      </c>
      <c r="H131" s="154"/>
      <c r="I131" s="41" t="s">
        <v>9</v>
      </c>
      <c r="J131" s="41" t="s">
        <v>10</v>
      </c>
      <c r="K131" s="41" t="s">
        <v>11</v>
      </c>
      <c r="L131" s="41" t="s">
        <v>12</v>
      </c>
    </row>
    <row r="132" spans="1:12" ht="18" customHeight="1">
      <c r="A132" s="40">
        <v>4</v>
      </c>
      <c r="B132" s="154" t="s">
        <v>320</v>
      </c>
      <c r="C132" s="154"/>
      <c r="D132" s="154"/>
      <c r="E132" s="154"/>
      <c r="F132" s="154"/>
      <c r="G132" s="154"/>
      <c r="H132" s="154"/>
      <c r="I132" s="154"/>
      <c r="J132" s="154"/>
      <c r="K132" s="154"/>
      <c r="L132" s="154"/>
    </row>
    <row r="133" spans="1:12" ht="33.6" customHeight="1">
      <c r="A133" s="40">
        <v>4</v>
      </c>
      <c r="B133" s="41" t="s">
        <v>220</v>
      </c>
      <c r="C133" s="25" t="s">
        <v>219</v>
      </c>
      <c r="D133" s="77" t="s">
        <v>279</v>
      </c>
      <c r="E133" s="44">
        <v>6.84</v>
      </c>
      <c r="F133" s="76">
        <v>7.08</v>
      </c>
      <c r="G133" s="76">
        <v>26.54</v>
      </c>
      <c r="H133" s="76">
        <v>198.1</v>
      </c>
      <c r="I133" s="76">
        <v>1.24</v>
      </c>
      <c r="J133" s="76">
        <v>137.88999999999999</v>
      </c>
      <c r="K133" s="76">
        <v>75.03</v>
      </c>
      <c r="L133" s="76">
        <v>2.17</v>
      </c>
    </row>
    <row r="134" spans="1:12" ht="18" customHeight="1">
      <c r="A134" s="40">
        <v>4</v>
      </c>
      <c r="B134" s="64" t="s">
        <v>221</v>
      </c>
      <c r="C134" s="25" t="s">
        <v>124</v>
      </c>
      <c r="D134" s="42" t="s">
        <v>291</v>
      </c>
      <c r="E134" s="76">
        <v>5</v>
      </c>
      <c r="F134" s="76">
        <v>3</v>
      </c>
      <c r="G134" s="76">
        <v>14.5</v>
      </c>
      <c r="H134" s="76">
        <v>106</v>
      </c>
      <c r="I134" s="76">
        <v>7.0000000000000007E-2</v>
      </c>
      <c r="J134" s="76">
        <v>106.9</v>
      </c>
      <c r="K134" s="76">
        <v>8.44</v>
      </c>
      <c r="L134" s="76">
        <v>0.67</v>
      </c>
    </row>
    <row r="135" spans="1:12" ht="18" customHeight="1">
      <c r="A135" s="40">
        <v>4</v>
      </c>
      <c r="B135" s="41" t="s">
        <v>161</v>
      </c>
      <c r="C135" s="25" t="s">
        <v>159</v>
      </c>
      <c r="D135" s="42">
        <v>150</v>
      </c>
      <c r="E135" s="76">
        <v>3.15</v>
      </c>
      <c r="F135" s="76">
        <v>2.72</v>
      </c>
      <c r="G135" s="76">
        <v>12.96</v>
      </c>
      <c r="H135" s="76">
        <v>89</v>
      </c>
      <c r="I135" s="76">
        <v>1.2</v>
      </c>
      <c r="J135" s="76">
        <v>114.7</v>
      </c>
      <c r="K135" s="76">
        <v>16.7</v>
      </c>
      <c r="L135" s="76">
        <v>0.41</v>
      </c>
    </row>
    <row r="136" spans="1:12" s="73" customFormat="1" ht="18" customHeight="1">
      <c r="A136" s="73">
        <v>4</v>
      </c>
      <c r="B136" s="74"/>
      <c r="C136" s="74" t="s">
        <v>14</v>
      </c>
      <c r="D136" s="75">
        <v>345</v>
      </c>
      <c r="E136" s="74">
        <f>E133+E134+E135</f>
        <v>14.99</v>
      </c>
      <c r="F136" s="127">
        <f t="shared" ref="F136:L136" si="25">F133+F134+F135</f>
        <v>12.8</v>
      </c>
      <c r="G136" s="127">
        <f t="shared" si="25"/>
        <v>54</v>
      </c>
      <c r="H136" s="127">
        <f t="shared" si="25"/>
        <v>393.1</v>
      </c>
      <c r="I136" s="127">
        <f t="shared" si="25"/>
        <v>2.5099999999999998</v>
      </c>
      <c r="J136" s="127">
        <f t="shared" si="25"/>
        <v>359.49</v>
      </c>
      <c r="K136" s="127">
        <f t="shared" si="25"/>
        <v>100.17</v>
      </c>
      <c r="L136" s="127">
        <f t="shared" si="25"/>
        <v>3.25</v>
      </c>
    </row>
    <row r="137" spans="1:12" s="73" customFormat="1" ht="18" customHeight="1">
      <c r="B137" s="151" t="s">
        <v>321</v>
      </c>
      <c r="C137" s="152"/>
      <c r="D137" s="152"/>
      <c r="E137" s="152"/>
      <c r="F137" s="152"/>
      <c r="G137" s="152"/>
      <c r="H137" s="152"/>
      <c r="I137" s="152"/>
      <c r="J137" s="152"/>
      <c r="K137" s="152"/>
      <c r="L137" s="153"/>
    </row>
    <row r="138" spans="1:12" ht="18" customHeight="1">
      <c r="B138" s="64" t="s">
        <v>355</v>
      </c>
      <c r="C138" s="25" t="s">
        <v>130</v>
      </c>
      <c r="D138" s="42">
        <v>120</v>
      </c>
      <c r="E138" s="76">
        <v>0.48</v>
      </c>
      <c r="F138" s="76">
        <v>0.48</v>
      </c>
      <c r="G138" s="76">
        <v>11.76</v>
      </c>
      <c r="H138" s="76">
        <v>56</v>
      </c>
      <c r="I138" s="76">
        <v>12</v>
      </c>
      <c r="J138" s="76">
        <v>19.2</v>
      </c>
      <c r="K138" s="76">
        <v>10.8</v>
      </c>
      <c r="L138" s="76">
        <v>2.64</v>
      </c>
    </row>
    <row r="139" spans="1:12" ht="18" customHeight="1">
      <c r="B139" s="41"/>
      <c r="C139" s="74" t="s">
        <v>14</v>
      </c>
      <c r="D139" s="42">
        <f>D138</f>
        <v>120</v>
      </c>
      <c r="E139" s="41">
        <f>E138</f>
        <v>0.48</v>
      </c>
      <c r="F139" s="127">
        <f t="shared" ref="F139:L139" si="26">F138</f>
        <v>0.48</v>
      </c>
      <c r="G139" s="127">
        <f t="shared" si="26"/>
        <v>11.76</v>
      </c>
      <c r="H139" s="127">
        <f t="shared" si="26"/>
        <v>56</v>
      </c>
      <c r="I139" s="127">
        <f t="shared" si="26"/>
        <v>12</v>
      </c>
      <c r="J139" s="127">
        <f t="shared" si="26"/>
        <v>19.2</v>
      </c>
      <c r="K139" s="127">
        <f t="shared" si="26"/>
        <v>10.8</v>
      </c>
      <c r="L139" s="127">
        <f t="shared" si="26"/>
        <v>2.64</v>
      </c>
    </row>
    <row r="140" spans="1:12" ht="18" customHeight="1">
      <c r="A140" s="40">
        <v>4</v>
      </c>
      <c r="B140" s="154" t="s">
        <v>322</v>
      </c>
      <c r="C140" s="154"/>
      <c r="D140" s="154"/>
      <c r="E140" s="154"/>
      <c r="F140" s="154"/>
      <c r="G140" s="154"/>
      <c r="H140" s="154"/>
      <c r="I140" s="154"/>
      <c r="J140" s="154"/>
      <c r="K140" s="154"/>
      <c r="L140" s="154"/>
    </row>
    <row r="141" spans="1:12" s="73" customFormat="1" ht="18" customHeight="1">
      <c r="B141" s="127" t="s">
        <v>226</v>
      </c>
      <c r="C141" s="72" t="s">
        <v>225</v>
      </c>
      <c r="D141" s="77">
        <v>40</v>
      </c>
      <c r="E141" s="76">
        <v>0.88</v>
      </c>
      <c r="F141" s="76">
        <v>1.84</v>
      </c>
      <c r="G141" s="76">
        <v>4.3499999999999996</v>
      </c>
      <c r="H141" s="76">
        <v>37.479999999999997</v>
      </c>
      <c r="I141" s="76">
        <v>2.0499999999999998</v>
      </c>
      <c r="J141" s="76">
        <v>12.26</v>
      </c>
      <c r="K141" s="76">
        <v>16.510000000000002</v>
      </c>
      <c r="L141" s="76">
        <v>0.49</v>
      </c>
    </row>
    <row r="142" spans="1:12" s="73" customFormat="1" ht="31.9" customHeight="1">
      <c r="B142" s="118" t="s">
        <v>223</v>
      </c>
      <c r="C142" s="72" t="s">
        <v>222</v>
      </c>
      <c r="D142" s="77">
        <v>200</v>
      </c>
      <c r="E142" s="76">
        <v>2.4900000000000002</v>
      </c>
      <c r="F142" s="76">
        <v>2.48</v>
      </c>
      <c r="G142" s="76">
        <v>13.63</v>
      </c>
      <c r="H142" s="76">
        <v>88</v>
      </c>
      <c r="I142" s="76">
        <v>6.6</v>
      </c>
      <c r="J142" s="76">
        <v>21.38</v>
      </c>
      <c r="K142" s="76">
        <v>21.58</v>
      </c>
      <c r="L142" s="76">
        <v>0.88</v>
      </c>
    </row>
    <row r="143" spans="1:12" s="73" customFormat="1" ht="18" customHeight="1">
      <c r="B143" s="127" t="s">
        <v>170</v>
      </c>
      <c r="C143" s="72" t="s">
        <v>224</v>
      </c>
      <c r="D143" s="77">
        <v>60</v>
      </c>
      <c r="E143" s="76">
        <v>6.65</v>
      </c>
      <c r="F143" s="76">
        <v>16.399999999999999</v>
      </c>
      <c r="G143" s="76">
        <v>9.64</v>
      </c>
      <c r="H143" s="76">
        <v>212</v>
      </c>
      <c r="I143" s="76">
        <v>0.09</v>
      </c>
      <c r="J143" s="76">
        <v>25.7</v>
      </c>
      <c r="K143" s="76">
        <v>16.3</v>
      </c>
      <c r="L143" s="76">
        <v>0.99</v>
      </c>
    </row>
    <row r="144" spans="1:12" ht="18" customHeight="1">
      <c r="A144" s="40">
        <v>4</v>
      </c>
      <c r="B144" s="118" t="s">
        <v>241</v>
      </c>
      <c r="C144" s="72" t="s">
        <v>41</v>
      </c>
      <c r="D144" s="42">
        <v>110</v>
      </c>
      <c r="E144" s="76">
        <v>2.2400000000000002</v>
      </c>
      <c r="F144" s="76">
        <v>3.52</v>
      </c>
      <c r="G144" s="76">
        <v>15</v>
      </c>
      <c r="H144" s="76">
        <v>100.65</v>
      </c>
      <c r="I144" s="76">
        <v>13.31</v>
      </c>
      <c r="J144" s="76">
        <v>27</v>
      </c>
      <c r="K144" s="76">
        <v>20.350000000000001</v>
      </c>
      <c r="L144" s="76">
        <v>0.74</v>
      </c>
    </row>
    <row r="145" spans="1:12" ht="30.6" customHeight="1">
      <c r="B145" s="118" t="s">
        <v>195</v>
      </c>
      <c r="C145" s="72" t="s">
        <v>358</v>
      </c>
      <c r="D145" s="75">
        <v>150</v>
      </c>
      <c r="E145" s="76">
        <v>0</v>
      </c>
      <c r="F145" s="76">
        <v>0</v>
      </c>
      <c r="G145" s="76">
        <v>10.01</v>
      </c>
      <c r="H145" s="76">
        <v>37</v>
      </c>
      <c r="I145" s="76">
        <v>0</v>
      </c>
      <c r="J145" s="76">
        <v>0.21</v>
      </c>
      <c r="K145" s="76">
        <v>0</v>
      </c>
      <c r="L145" s="76">
        <v>0.03</v>
      </c>
    </row>
    <row r="146" spans="1:12" ht="18" customHeight="1">
      <c r="B146" s="118"/>
      <c r="C146" s="72" t="s">
        <v>16</v>
      </c>
      <c r="D146" s="77">
        <v>40</v>
      </c>
      <c r="E146" s="76">
        <v>2.2400000000000002</v>
      </c>
      <c r="F146" s="76">
        <v>0.44</v>
      </c>
      <c r="G146" s="76">
        <v>19.760000000000002</v>
      </c>
      <c r="H146" s="76">
        <v>91.96</v>
      </c>
      <c r="I146" s="76">
        <v>0</v>
      </c>
      <c r="J146" s="76">
        <v>9.1999999999999993</v>
      </c>
      <c r="K146" s="76">
        <v>10</v>
      </c>
      <c r="L146" s="76">
        <v>1.24</v>
      </c>
    </row>
    <row r="147" spans="1:12" ht="19.5" customHeight="1">
      <c r="A147" s="40">
        <v>4</v>
      </c>
      <c r="B147" s="118"/>
      <c r="C147" s="72" t="s">
        <v>136</v>
      </c>
      <c r="D147" s="75">
        <v>10</v>
      </c>
      <c r="E147" s="76">
        <v>0.79</v>
      </c>
      <c r="F147" s="76">
        <v>0.1</v>
      </c>
      <c r="G147" s="76">
        <v>4.83</v>
      </c>
      <c r="H147" s="76">
        <v>23.5</v>
      </c>
      <c r="I147" s="76">
        <v>0</v>
      </c>
      <c r="J147" s="76">
        <v>2.2999999999999998</v>
      </c>
      <c r="K147" s="76">
        <v>3.3</v>
      </c>
      <c r="L147" s="76">
        <v>0.2</v>
      </c>
    </row>
    <row r="148" spans="1:12" ht="18" customHeight="1">
      <c r="A148" s="40">
        <v>4</v>
      </c>
      <c r="B148" s="41"/>
      <c r="C148" s="134" t="s">
        <v>14</v>
      </c>
      <c r="D148" s="42">
        <v>610</v>
      </c>
      <c r="E148" s="100">
        <f>E144+E145+E146+E147+E143+E142+E141</f>
        <v>15.290000000000003</v>
      </c>
      <c r="F148" s="127">
        <f t="shared" ref="F148:L148" si="27">F144+F145+F146+F147+F143+F142+F141</f>
        <v>24.779999999999998</v>
      </c>
      <c r="G148" s="127">
        <f t="shared" si="27"/>
        <v>77.219999999999985</v>
      </c>
      <c r="H148" s="127">
        <f t="shared" si="27"/>
        <v>590.59</v>
      </c>
      <c r="I148" s="127">
        <f t="shared" si="27"/>
        <v>22.05</v>
      </c>
      <c r="J148" s="127">
        <f t="shared" si="27"/>
        <v>98.05</v>
      </c>
      <c r="K148" s="127">
        <f t="shared" si="27"/>
        <v>88.04</v>
      </c>
      <c r="L148" s="127">
        <f t="shared" si="27"/>
        <v>4.57</v>
      </c>
    </row>
    <row r="149" spans="1:12" ht="18" customHeight="1">
      <c r="A149" s="40">
        <v>4</v>
      </c>
      <c r="B149" s="154" t="s">
        <v>323</v>
      </c>
      <c r="C149" s="154"/>
      <c r="D149" s="154"/>
      <c r="E149" s="154"/>
      <c r="F149" s="154"/>
      <c r="G149" s="154"/>
      <c r="H149" s="154"/>
      <c r="I149" s="154"/>
      <c r="J149" s="154"/>
      <c r="K149" s="154"/>
      <c r="L149" s="154"/>
    </row>
    <row r="150" spans="1:12" s="73" customFormat="1" ht="21.75" customHeight="1">
      <c r="B150" s="100"/>
      <c r="C150" s="72" t="s">
        <v>196</v>
      </c>
      <c r="D150" s="77">
        <v>30</v>
      </c>
      <c r="E150" s="76">
        <v>2.2200000000000002</v>
      </c>
      <c r="F150" s="76">
        <v>2.85</v>
      </c>
      <c r="G150" s="76">
        <v>21.9</v>
      </c>
      <c r="H150" s="76">
        <v>102.1</v>
      </c>
      <c r="I150" s="76">
        <v>0</v>
      </c>
      <c r="J150" s="76">
        <v>12.3</v>
      </c>
      <c r="K150" s="76">
        <v>4.5</v>
      </c>
      <c r="L150" s="76">
        <v>0.3</v>
      </c>
    </row>
    <row r="151" spans="1:12" s="73" customFormat="1" ht="18" customHeight="1">
      <c r="B151" s="100" t="s">
        <v>150</v>
      </c>
      <c r="C151" s="72" t="s">
        <v>139</v>
      </c>
      <c r="D151" s="77">
        <v>200</v>
      </c>
      <c r="E151" s="76">
        <v>6.09</v>
      </c>
      <c r="F151" s="76">
        <v>5.42</v>
      </c>
      <c r="G151" s="76">
        <v>10.08</v>
      </c>
      <c r="H151" s="76">
        <v>113.3</v>
      </c>
      <c r="I151" s="76">
        <v>2.73</v>
      </c>
      <c r="J151" s="76">
        <v>252</v>
      </c>
      <c r="K151" s="76">
        <v>29.44</v>
      </c>
      <c r="L151" s="76">
        <v>0.21</v>
      </c>
    </row>
    <row r="152" spans="1:12" s="73" customFormat="1" ht="18" customHeight="1">
      <c r="B152" s="100"/>
      <c r="C152" s="134" t="s">
        <v>14</v>
      </c>
      <c r="D152" s="77">
        <v>230</v>
      </c>
      <c r="E152" s="100">
        <f>E150+E151</f>
        <v>8.31</v>
      </c>
      <c r="F152" s="100">
        <f t="shared" ref="F152:L152" si="28">F150+F151</f>
        <v>8.27</v>
      </c>
      <c r="G152" s="100">
        <f t="shared" si="28"/>
        <v>31.979999999999997</v>
      </c>
      <c r="H152" s="100">
        <f t="shared" si="28"/>
        <v>215.39999999999998</v>
      </c>
      <c r="I152" s="100">
        <f t="shared" si="28"/>
        <v>2.73</v>
      </c>
      <c r="J152" s="100">
        <f t="shared" si="28"/>
        <v>264.3</v>
      </c>
      <c r="K152" s="100">
        <f t="shared" si="28"/>
        <v>33.94</v>
      </c>
      <c r="L152" s="100">
        <f t="shared" si="28"/>
        <v>0.51</v>
      </c>
    </row>
    <row r="153" spans="1:12" s="73" customFormat="1" ht="18" customHeight="1">
      <c r="B153" s="151" t="s">
        <v>324</v>
      </c>
      <c r="C153" s="152"/>
      <c r="D153" s="152"/>
      <c r="E153" s="152"/>
      <c r="F153" s="152"/>
      <c r="G153" s="152"/>
      <c r="H153" s="152"/>
      <c r="I153" s="152"/>
      <c r="J153" s="152"/>
      <c r="K153" s="152"/>
      <c r="L153" s="153"/>
    </row>
    <row r="154" spans="1:12" s="73" customFormat="1" ht="18" customHeight="1">
      <c r="B154" s="74" t="s">
        <v>250</v>
      </c>
      <c r="C154" s="72" t="s">
        <v>227</v>
      </c>
      <c r="D154" s="77">
        <v>130</v>
      </c>
      <c r="E154" s="76">
        <v>17.82</v>
      </c>
      <c r="F154" s="76">
        <v>7.58</v>
      </c>
      <c r="G154" s="76">
        <v>18.420000000000002</v>
      </c>
      <c r="H154" s="76">
        <v>212</v>
      </c>
      <c r="I154" s="76">
        <v>0.24</v>
      </c>
      <c r="J154" s="76">
        <v>114</v>
      </c>
      <c r="K154" s="76">
        <v>22.2</v>
      </c>
      <c r="L154" s="76">
        <v>0.7</v>
      </c>
    </row>
    <row r="155" spans="1:12" s="73" customFormat="1" ht="18" customHeight="1">
      <c r="B155" s="74" t="s">
        <v>177</v>
      </c>
      <c r="C155" s="72" t="s">
        <v>176</v>
      </c>
      <c r="D155" s="77">
        <v>30</v>
      </c>
      <c r="E155" s="76">
        <v>1.1000000000000001</v>
      </c>
      <c r="F155" s="76">
        <v>1.66</v>
      </c>
      <c r="G155" s="76">
        <v>2.38</v>
      </c>
      <c r="H155" s="76">
        <v>40.08</v>
      </c>
      <c r="I155" s="76">
        <v>0.08</v>
      </c>
      <c r="J155" s="76">
        <v>0.35</v>
      </c>
      <c r="K155" s="76">
        <v>0.31</v>
      </c>
      <c r="L155" s="76">
        <v>0.02</v>
      </c>
    </row>
    <row r="156" spans="1:12" s="73" customFormat="1" ht="18" customHeight="1">
      <c r="B156" s="74" t="s">
        <v>355</v>
      </c>
      <c r="C156" s="72" t="s">
        <v>130</v>
      </c>
      <c r="D156" s="77">
        <v>100</v>
      </c>
      <c r="E156" s="76">
        <v>0.4</v>
      </c>
      <c r="F156" s="76">
        <v>0.4</v>
      </c>
      <c r="G156" s="76">
        <v>9.8000000000000007</v>
      </c>
      <c r="H156" s="76">
        <v>44</v>
      </c>
      <c r="I156" s="76">
        <v>10</v>
      </c>
      <c r="J156" s="76">
        <v>16</v>
      </c>
      <c r="K156" s="76">
        <v>9</v>
      </c>
      <c r="L156" s="76">
        <v>2.2000000000000002</v>
      </c>
    </row>
    <row r="157" spans="1:12" ht="18" customHeight="1">
      <c r="A157" s="40">
        <v>4</v>
      </c>
      <c r="B157" s="74"/>
      <c r="C157" s="72" t="s">
        <v>136</v>
      </c>
      <c r="D157" s="77">
        <v>10</v>
      </c>
      <c r="E157" s="76">
        <v>0.79</v>
      </c>
      <c r="F157" s="76">
        <v>0.1</v>
      </c>
      <c r="G157" s="76">
        <v>4.83</v>
      </c>
      <c r="H157" s="76">
        <v>23.5</v>
      </c>
      <c r="I157" s="76">
        <v>0</v>
      </c>
      <c r="J157" s="76">
        <v>2.2999999999999998</v>
      </c>
      <c r="K157" s="76">
        <v>3.3</v>
      </c>
      <c r="L157" s="76">
        <v>0.2</v>
      </c>
    </row>
    <row r="158" spans="1:12" s="73" customFormat="1" ht="18" customHeight="1">
      <c r="B158" s="127" t="s">
        <v>202</v>
      </c>
      <c r="C158" s="72" t="s">
        <v>200</v>
      </c>
      <c r="D158" s="77" t="s">
        <v>279</v>
      </c>
      <c r="E158" s="76">
        <v>0.01</v>
      </c>
      <c r="F158" s="76">
        <v>0.01</v>
      </c>
      <c r="G158" s="76">
        <v>4.99</v>
      </c>
      <c r="H158" s="76">
        <v>19.95</v>
      </c>
      <c r="I158" s="76">
        <v>0.02</v>
      </c>
      <c r="J158" s="76">
        <v>7.94</v>
      </c>
      <c r="K158" s="76">
        <v>0.9</v>
      </c>
      <c r="L158" s="76">
        <v>0.18</v>
      </c>
    </row>
    <row r="159" spans="1:12" ht="18" customHeight="1">
      <c r="A159" s="40">
        <v>4</v>
      </c>
      <c r="B159" s="41"/>
      <c r="C159" s="41" t="s">
        <v>14</v>
      </c>
      <c r="D159" s="83">
        <v>425</v>
      </c>
      <c r="E159" s="41">
        <f>E154+E155+E156+E157</f>
        <v>20.11</v>
      </c>
      <c r="F159" s="100">
        <f t="shared" ref="F159:L159" si="29">F154+F155+F156+F157</f>
        <v>9.74</v>
      </c>
      <c r="G159" s="100">
        <f t="shared" si="29"/>
        <v>35.43</v>
      </c>
      <c r="H159" s="100">
        <f t="shared" si="29"/>
        <v>319.58</v>
      </c>
      <c r="I159" s="100">
        <f t="shared" si="29"/>
        <v>10.32</v>
      </c>
      <c r="J159" s="100">
        <f t="shared" si="29"/>
        <v>132.65</v>
      </c>
      <c r="K159" s="100">
        <f t="shared" si="29"/>
        <v>34.809999999999995</v>
      </c>
      <c r="L159" s="100">
        <f t="shared" si="29"/>
        <v>3.12</v>
      </c>
    </row>
    <row r="160" spans="1:12" ht="18" customHeight="1">
      <c r="A160" s="40">
        <v>4</v>
      </c>
      <c r="B160" s="41"/>
      <c r="C160" s="41" t="s">
        <v>20</v>
      </c>
      <c r="D160" s="101">
        <f t="shared" ref="D160:L160" si="30">D136+D139+D148+D152+D159</f>
        <v>1730</v>
      </c>
      <c r="E160" s="41">
        <f t="shared" si="30"/>
        <v>59.180000000000007</v>
      </c>
      <c r="F160" s="100">
        <f t="shared" si="30"/>
        <v>56.07</v>
      </c>
      <c r="G160" s="100">
        <f t="shared" si="30"/>
        <v>210.39</v>
      </c>
      <c r="H160" s="100">
        <f t="shared" si="30"/>
        <v>1574.67</v>
      </c>
      <c r="I160" s="100">
        <f t="shared" si="30"/>
        <v>49.61</v>
      </c>
      <c r="J160" s="100">
        <f t="shared" si="30"/>
        <v>873.68999999999994</v>
      </c>
      <c r="K160" s="100">
        <f t="shared" si="30"/>
        <v>267.76</v>
      </c>
      <c r="L160" s="100">
        <f t="shared" si="30"/>
        <v>14.09</v>
      </c>
    </row>
    <row r="161" spans="1:12" s="73" customFormat="1" ht="20.100000000000001" customHeight="1">
      <c r="B161" s="145"/>
      <c r="C161" s="145" t="s">
        <v>272</v>
      </c>
      <c r="D161" s="146"/>
      <c r="E161" s="145">
        <v>42</v>
      </c>
      <c r="F161" s="145">
        <v>47</v>
      </c>
      <c r="G161" s="145">
        <v>203</v>
      </c>
      <c r="H161" s="145">
        <v>1400</v>
      </c>
      <c r="I161" s="145">
        <v>45</v>
      </c>
      <c r="J161" s="145">
        <v>800</v>
      </c>
      <c r="K161" s="145">
        <v>80</v>
      </c>
      <c r="L161" s="145">
        <v>10</v>
      </c>
    </row>
    <row r="162" spans="1:12" s="73" customFormat="1" ht="20.100000000000001" customHeight="1">
      <c r="B162" s="147"/>
      <c r="C162" s="147" t="s">
        <v>273</v>
      </c>
      <c r="D162" s="148"/>
      <c r="E162" s="147">
        <f>ROUND(E160/E161*100-100,2)</f>
        <v>40.9</v>
      </c>
      <c r="F162" s="147">
        <f t="shared" ref="F162:L162" si="31">ROUND(F160/F161*100-100,2)</f>
        <v>19.3</v>
      </c>
      <c r="G162" s="147">
        <f t="shared" si="31"/>
        <v>3.64</v>
      </c>
      <c r="H162" s="147">
        <f t="shared" si="31"/>
        <v>12.48</v>
      </c>
      <c r="I162" s="147">
        <f t="shared" si="31"/>
        <v>10.24</v>
      </c>
      <c r="J162" s="147">
        <f t="shared" si="31"/>
        <v>9.2100000000000009</v>
      </c>
      <c r="K162" s="147">
        <f t="shared" si="31"/>
        <v>234.7</v>
      </c>
      <c r="L162" s="147">
        <f t="shared" si="31"/>
        <v>40.9</v>
      </c>
    </row>
    <row r="163" spans="1:12" s="35" customFormat="1" ht="20.100000000000001" customHeight="1">
      <c r="B163" s="36" t="s">
        <v>102</v>
      </c>
      <c r="C163" s="37"/>
      <c r="D163" s="46"/>
      <c r="E163" s="47"/>
      <c r="F163" s="47"/>
      <c r="G163" s="47"/>
      <c r="H163" s="47"/>
      <c r="I163" s="47"/>
      <c r="J163" s="47"/>
      <c r="K163" s="47"/>
      <c r="L163" s="47"/>
    </row>
    <row r="164" spans="1:12" s="35" customFormat="1" ht="20.100000000000001" customHeight="1">
      <c r="B164" s="36" t="s">
        <v>98</v>
      </c>
      <c r="C164" s="37"/>
      <c r="D164" s="46"/>
      <c r="E164" s="47"/>
      <c r="F164" s="47"/>
      <c r="G164" s="47"/>
      <c r="H164" s="47"/>
      <c r="I164" s="47"/>
      <c r="J164" s="47"/>
      <c r="K164" s="47"/>
      <c r="L164" s="47"/>
    </row>
    <row r="165" spans="1:12" s="35" customFormat="1">
      <c r="B165" s="36" t="s">
        <v>276</v>
      </c>
      <c r="C165" s="37"/>
      <c r="D165" s="38"/>
      <c r="E165" s="39"/>
      <c r="F165" s="39"/>
      <c r="G165" s="39"/>
      <c r="H165" s="39"/>
      <c r="I165" s="39"/>
      <c r="J165" s="39"/>
      <c r="K165" s="39"/>
      <c r="L165" s="39"/>
    </row>
    <row r="166" spans="1:12" s="35" customFormat="1" ht="20.100000000000001" hidden="1" customHeight="1">
      <c r="B166" s="45"/>
      <c r="C166" s="45"/>
      <c r="D166" s="46"/>
      <c r="E166" s="47"/>
      <c r="F166" s="47"/>
      <c r="G166" s="47"/>
      <c r="H166" s="47"/>
      <c r="I166" s="47"/>
      <c r="J166" s="47"/>
      <c r="K166" s="47"/>
      <c r="L166" s="47"/>
    </row>
    <row r="167" spans="1:12" s="35" customFormat="1" ht="39.75" customHeight="1">
      <c r="B167" s="155" t="s">
        <v>0</v>
      </c>
      <c r="C167" s="155" t="s">
        <v>1</v>
      </c>
      <c r="D167" s="156" t="s">
        <v>2</v>
      </c>
      <c r="E167" s="154" t="s">
        <v>3</v>
      </c>
      <c r="F167" s="154"/>
      <c r="G167" s="154"/>
      <c r="H167" s="154" t="s">
        <v>4</v>
      </c>
      <c r="I167" s="121"/>
      <c r="J167" s="154" t="s">
        <v>5</v>
      </c>
      <c r="K167" s="154"/>
      <c r="L167" s="154"/>
    </row>
    <row r="168" spans="1:12" s="35" customFormat="1" ht="39.75" customHeight="1">
      <c r="B168" s="155"/>
      <c r="C168" s="155"/>
      <c r="D168" s="156"/>
      <c r="E168" s="41" t="s">
        <v>6</v>
      </c>
      <c r="F168" s="41" t="s">
        <v>7</v>
      </c>
      <c r="G168" s="41" t="s">
        <v>8</v>
      </c>
      <c r="H168" s="154"/>
      <c r="I168" s="41" t="s">
        <v>9</v>
      </c>
      <c r="J168" s="41" t="s">
        <v>10</v>
      </c>
      <c r="K168" s="41" t="s">
        <v>11</v>
      </c>
      <c r="L168" s="41" t="s">
        <v>12</v>
      </c>
    </row>
    <row r="169" spans="1:12" ht="18" customHeight="1">
      <c r="A169" s="40">
        <v>5</v>
      </c>
      <c r="B169" s="154" t="s">
        <v>325</v>
      </c>
      <c r="C169" s="154"/>
      <c r="D169" s="154"/>
      <c r="E169" s="154"/>
      <c r="F169" s="154"/>
      <c r="G169" s="154"/>
      <c r="H169" s="154"/>
      <c r="I169" s="154"/>
      <c r="J169" s="154"/>
      <c r="K169" s="154"/>
      <c r="L169" s="154"/>
    </row>
    <row r="170" spans="1:12" ht="34.9" customHeight="1">
      <c r="A170" s="40">
        <v>5</v>
      </c>
      <c r="B170" s="41" t="s">
        <v>230</v>
      </c>
      <c r="C170" s="25" t="s">
        <v>228</v>
      </c>
      <c r="D170" s="42" t="s">
        <v>279</v>
      </c>
      <c r="E170" s="44">
        <v>3.83</v>
      </c>
      <c r="F170" s="44">
        <v>5.36</v>
      </c>
      <c r="G170" s="44">
        <v>25.27</v>
      </c>
      <c r="H170" s="44">
        <v>164.8</v>
      </c>
      <c r="I170" s="44">
        <v>0.88</v>
      </c>
      <c r="J170" s="44">
        <v>97.45</v>
      </c>
      <c r="K170" s="44">
        <v>22.77</v>
      </c>
      <c r="L170" s="44">
        <v>0.36</v>
      </c>
    </row>
    <row r="171" spans="1:12" ht="18" customHeight="1">
      <c r="A171" s="40">
        <v>5</v>
      </c>
      <c r="B171" s="74" t="s">
        <v>231</v>
      </c>
      <c r="C171" s="72" t="s">
        <v>229</v>
      </c>
      <c r="D171" s="42">
        <v>60</v>
      </c>
      <c r="E171" s="44">
        <v>4.5199999999999996</v>
      </c>
      <c r="F171" s="44">
        <v>5.81</v>
      </c>
      <c r="G171" s="44">
        <v>2.19</v>
      </c>
      <c r="H171" s="44">
        <v>79</v>
      </c>
      <c r="I171" s="44">
        <v>0.78</v>
      </c>
      <c r="J171" s="44">
        <v>39.1</v>
      </c>
      <c r="K171" s="44">
        <v>12.9</v>
      </c>
      <c r="L171" s="44">
        <v>0.95</v>
      </c>
    </row>
    <row r="172" spans="1:12" s="73" customFormat="1" ht="18" customHeight="1">
      <c r="B172" s="132"/>
      <c r="C172" s="72" t="s">
        <v>158</v>
      </c>
      <c r="D172" s="133">
        <v>25</v>
      </c>
      <c r="E172" s="76">
        <v>1.98</v>
      </c>
      <c r="F172" s="76">
        <v>0.25</v>
      </c>
      <c r="G172" s="76">
        <v>12.08</v>
      </c>
      <c r="H172" s="76">
        <v>58.75</v>
      </c>
      <c r="I172" s="76">
        <v>0</v>
      </c>
      <c r="J172" s="76">
        <v>5.75</v>
      </c>
      <c r="K172" s="76">
        <v>8.25</v>
      </c>
      <c r="L172" s="76">
        <v>0.5</v>
      </c>
    </row>
    <row r="173" spans="1:12" ht="18" customHeight="1">
      <c r="A173" s="40">
        <v>5</v>
      </c>
      <c r="B173" s="74" t="s">
        <v>202</v>
      </c>
      <c r="C173" s="72" t="s">
        <v>200</v>
      </c>
      <c r="D173" s="42" t="s">
        <v>279</v>
      </c>
      <c r="E173" s="44">
        <v>0.01</v>
      </c>
      <c r="F173" s="44">
        <v>0.01</v>
      </c>
      <c r="G173" s="44">
        <v>4.99</v>
      </c>
      <c r="H173" s="44">
        <v>19.95</v>
      </c>
      <c r="I173" s="44">
        <v>0.02</v>
      </c>
      <c r="J173" s="44">
        <v>7.94</v>
      </c>
      <c r="K173" s="44">
        <v>0.9</v>
      </c>
      <c r="L173" s="44">
        <v>0.18</v>
      </c>
    </row>
    <row r="174" spans="1:12" s="73" customFormat="1" ht="18" customHeight="1">
      <c r="B174" s="74"/>
      <c r="C174" s="74" t="s">
        <v>14</v>
      </c>
      <c r="D174" s="75">
        <v>395</v>
      </c>
      <c r="E174" s="74">
        <f>E170+E171+E173+E172</f>
        <v>10.34</v>
      </c>
      <c r="F174" s="149">
        <f t="shared" ref="F174:L174" si="32">F170+F171+F173+F172</f>
        <v>11.43</v>
      </c>
      <c r="G174" s="149">
        <f t="shared" si="32"/>
        <v>44.53</v>
      </c>
      <c r="H174" s="149">
        <f t="shared" si="32"/>
        <v>322.5</v>
      </c>
      <c r="I174" s="149">
        <f t="shared" si="32"/>
        <v>1.6800000000000002</v>
      </c>
      <c r="J174" s="149">
        <f t="shared" si="32"/>
        <v>150.24</v>
      </c>
      <c r="K174" s="149">
        <f t="shared" si="32"/>
        <v>44.82</v>
      </c>
      <c r="L174" s="149">
        <f t="shared" si="32"/>
        <v>1.99</v>
      </c>
    </row>
    <row r="175" spans="1:12" s="73" customFormat="1" ht="18" customHeight="1">
      <c r="B175" s="154" t="s">
        <v>326</v>
      </c>
      <c r="C175" s="154"/>
      <c r="D175" s="154"/>
      <c r="E175" s="154"/>
      <c r="F175" s="154"/>
      <c r="G175" s="154"/>
      <c r="H175" s="154"/>
      <c r="I175" s="154"/>
      <c r="J175" s="154"/>
      <c r="K175" s="154"/>
      <c r="L175" s="154"/>
    </row>
    <row r="176" spans="1:12" s="73" customFormat="1" ht="18" customHeight="1">
      <c r="B176" s="74" t="s">
        <v>163</v>
      </c>
      <c r="C176" s="72" t="s">
        <v>162</v>
      </c>
      <c r="D176" s="75">
        <v>150</v>
      </c>
      <c r="E176" s="76">
        <v>0.75</v>
      </c>
      <c r="F176" s="76">
        <v>0</v>
      </c>
      <c r="G176" s="76">
        <v>15.15</v>
      </c>
      <c r="H176" s="76">
        <v>64</v>
      </c>
      <c r="I176" s="76">
        <v>3</v>
      </c>
      <c r="J176" s="76">
        <v>10.5</v>
      </c>
      <c r="K176" s="76">
        <v>6</v>
      </c>
      <c r="L176" s="76">
        <v>2.1</v>
      </c>
    </row>
    <row r="177" spans="1:12" ht="18" customHeight="1">
      <c r="B177" s="41"/>
      <c r="C177" s="74" t="s">
        <v>14</v>
      </c>
      <c r="D177" s="42">
        <f>D176</f>
        <v>150</v>
      </c>
      <c r="E177" s="74">
        <f>E176</f>
        <v>0.75</v>
      </c>
      <c r="F177" s="132">
        <f t="shared" ref="F177:L177" si="33">F176</f>
        <v>0</v>
      </c>
      <c r="G177" s="132">
        <f t="shared" si="33"/>
        <v>15.15</v>
      </c>
      <c r="H177" s="132">
        <f t="shared" si="33"/>
        <v>64</v>
      </c>
      <c r="I177" s="132">
        <f t="shared" si="33"/>
        <v>3</v>
      </c>
      <c r="J177" s="132">
        <f t="shared" si="33"/>
        <v>10.5</v>
      </c>
      <c r="K177" s="132">
        <f t="shared" si="33"/>
        <v>6</v>
      </c>
      <c r="L177" s="132">
        <f t="shared" si="33"/>
        <v>2.1</v>
      </c>
    </row>
    <row r="178" spans="1:12" ht="18" customHeight="1">
      <c r="A178" s="40">
        <v>5</v>
      </c>
      <c r="B178" s="154" t="s">
        <v>327</v>
      </c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</row>
    <row r="179" spans="1:12" ht="18" customHeight="1">
      <c r="A179" s="40">
        <v>5</v>
      </c>
      <c r="B179" s="64" t="s">
        <v>226</v>
      </c>
      <c r="C179" s="25" t="s">
        <v>232</v>
      </c>
      <c r="D179" s="42">
        <v>40</v>
      </c>
      <c r="E179" s="44">
        <v>0.94</v>
      </c>
      <c r="F179" s="76">
        <v>1.84</v>
      </c>
      <c r="G179" s="76">
        <v>4.93</v>
      </c>
      <c r="H179" s="76">
        <v>40</v>
      </c>
      <c r="I179" s="76">
        <v>2.69</v>
      </c>
      <c r="J179" s="76">
        <v>15.3</v>
      </c>
      <c r="K179" s="76">
        <v>11.82</v>
      </c>
      <c r="L179" s="76">
        <v>0.71</v>
      </c>
    </row>
    <row r="180" spans="1:12" ht="18" customHeight="1">
      <c r="B180" s="77" t="s">
        <v>234</v>
      </c>
      <c r="C180" s="72" t="s">
        <v>233</v>
      </c>
      <c r="D180" s="63" t="s">
        <v>292</v>
      </c>
      <c r="E180" s="76">
        <v>1.64</v>
      </c>
      <c r="F180" s="76">
        <v>6.89</v>
      </c>
      <c r="G180" s="76">
        <v>68.150000000000006</v>
      </c>
      <c r="H180" s="76">
        <v>88.3</v>
      </c>
      <c r="I180" s="76">
        <v>14.82</v>
      </c>
      <c r="J180" s="76">
        <v>43.1</v>
      </c>
      <c r="K180" s="76">
        <v>18.8</v>
      </c>
      <c r="L180" s="76">
        <v>0.64</v>
      </c>
    </row>
    <row r="181" spans="1:12" s="73" customFormat="1" ht="18" customHeight="1">
      <c r="B181" s="77" t="s">
        <v>236</v>
      </c>
      <c r="C181" s="72" t="s">
        <v>235</v>
      </c>
      <c r="D181" s="119">
        <v>170</v>
      </c>
      <c r="E181" s="76">
        <v>14.9</v>
      </c>
      <c r="F181" s="76">
        <v>5.33</v>
      </c>
      <c r="G181" s="76">
        <v>18.5</v>
      </c>
      <c r="H181" s="76">
        <v>181</v>
      </c>
      <c r="I181" s="76">
        <v>24</v>
      </c>
      <c r="J181" s="76">
        <v>50.2</v>
      </c>
      <c r="K181" s="76">
        <v>3.05</v>
      </c>
      <c r="L181" s="76">
        <v>7.26</v>
      </c>
    </row>
    <row r="182" spans="1:12" ht="18" customHeight="1">
      <c r="B182" s="77" t="s">
        <v>149</v>
      </c>
      <c r="C182" s="72" t="s">
        <v>135</v>
      </c>
      <c r="D182" s="77">
        <v>180</v>
      </c>
      <c r="E182" s="76">
        <v>0.4</v>
      </c>
      <c r="F182" s="76">
        <v>0.02</v>
      </c>
      <c r="G182" s="76">
        <v>19</v>
      </c>
      <c r="H182" s="76">
        <v>77.7</v>
      </c>
      <c r="I182" s="76">
        <v>0.36</v>
      </c>
      <c r="J182" s="76">
        <v>28.54</v>
      </c>
      <c r="K182" s="76">
        <v>5.4</v>
      </c>
      <c r="L182" s="76">
        <v>1.1100000000000001</v>
      </c>
    </row>
    <row r="183" spans="1:12" ht="18" customHeight="1">
      <c r="B183" s="77"/>
      <c r="C183" s="72" t="s">
        <v>16</v>
      </c>
      <c r="D183" s="75">
        <v>20</v>
      </c>
      <c r="E183" s="76">
        <v>1.22</v>
      </c>
      <c r="F183" s="76">
        <v>0.22</v>
      </c>
      <c r="G183" s="76">
        <v>9.8800000000000008</v>
      </c>
      <c r="H183" s="76">
        <v>45.95</v>
      </c>
      <c r="I183" s="76">
        <v>0</v>
      </c>
      <c r="J183" s="76">
        <v>4.5999999999999996</v>
      </c>
      <c r="K183" s="76">
        <v>5</v>
      </c>
      <c r="L183" s="76">
        <v>0.62</v>
      </c>
    </row>
    <row r="184" spans="1:12" ht="18" customHeight="1">
      <c r="B184" s="77"/>
      <c r="C184" s="72" t="s">
        <v>158</v>
      </c>
      <c r="D184" s="75">
        <v>15</v>
      </c>
      <c r="E184" s="76">
        <v>1.19</v>
      </c>
      <c r="F184" s="76">
        <v>0.15</v>
      </c>
      <c r="G184" s="76">
        <v>7.25</v>
      </c>
      <c r="H184" s="76">
        <v>35.25</v>
      </c>
      <c r="I184" s="76">
        <v>0</v>
      </c>
      <c r="J184" s="76">
        <v>3.45</v>
      </c>
      <c r="K184" s="76">
        <v>4.95</v>
      </c>
      <c r="L184" s="76">
        <v>0.3</v>
      </c>
    </row>
    <row r="185" spans="1:12" ht="18" customHeight="1">
      <c r="B185" s="64"/>
      <c r="C185" s="134" t="s">
        <v>14</v>
      </c>
      <c r="D185" s="42">
        <v>635</v>
      </c>
      <c r="E185" s="74">
        <f>SUM(E179:E184)</f>
        <v>20.29</v>
      </c>
      <c r="F185" s="132">
        <f t="shared" ref="F185:L185" si="34">SUM(F179:F184)</f>
        <v>14.450000000000001</v>
      </c>
      <c r="G185" s="132">
        <f t="shared" si="34"/>
        <v>127.71000000000001</v>
      </c>
      <c r="H185" s="132">
        <f t="shared" si="34"/>
        <v>468.2</v>
      </c>
      <c r="I185" s="132">
        <f t="shared" si="34"/>
        <v>41.870000000000005</v>
      </c>
      <c r="J185" s="132">
        <f t="shared" si="34"/>
        <v>145.19</v>
      </c>
      <c r="K185" s="132">
        <f t="shared" si="34"/>
        <v>49.02</v>
      </c>
      <c r="L185" s="132">
        <f t="shared" si="34"/>
        <v>10.639999999999999</v>
      </c>
    </row>
    <row r="186" spans="1:12" ht="18" customHeight="1">
      <c r="A186" s="40">
        <v>5</v>
      </c>
      <c r="B186" s="154" t="s">
        <v>328</v>
      </c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</row>
    <row r="187" spans="1:12" s="73" customFormat="1" ht="21" customHeight="1">
      <c r="B187" s="100" t="s">
        <v>238</v>
      </c>
      <c r="C187" s="72" t="s">
        <v>237</v>
      </c>
      <c r="D187" s="77">
        <v>50</v>
      </c>
      <c r="E187" s="76">
        <v>6.58</v>
      </c>
      <c r="F187" s="76">
        <v>3.91</v>
      </c>
      <c r="G187" s="76">
        <v>20.84</v>
      </c>
      <c r="H187" s="76">
        <v>144.29</v>
      </c>
      <c r="I187" s="76">
        <v>0.03</v>
      </c>
      <c r="J187" s="76">
        <v>36.28</v>
      </c>
      <c r="K187" s="76">
        <v>15.43</v>
      </c>
      <c r="L187" s="76">
        <v>0.64</v>
      </c>
    </row>
    <row r="188" spans="1:12" s="73" customFormat="1" ht="18" customHeight="1">
      <c r="B188" s="100" t="s">
        <v>150</v>
      </c>
      <c r="C188" s="72" t="s">
        <v>139</v>
      </c>
      <c r="D188" s="77">
        <v>200</v>
      </c>
      <c r="E188" s="76">
        <v>6.09</v>
      </c>
      <c r="F188" s="76">
        <v>5.42</v>
      </c>
      <c r="G188" s="76">
        <v>10.08</v>
      </c>
      <c r="H188" s="76">
        <v>113.3</v>
      </c>
      <c r="I188" s="76">
        <v>2.73</v>
      </c>
      <c r="J188" s="76">
        <v>252</v>
      </c>
      <c r="K188" s="76">
        <v>29.44</v>
      </c>
      <c r="L188" s="76">
        <v>0.21</v>
      </c>
    </row>
    <row r="189" spans="1:12" s="73" customFormat="1" ht="18" customHeight="1">
      <c r="B189" s="100"/>
      <c r="C189" s="134" t="s">
        <v>14</v>
      </c>
      <c r="D189" s="77">
        <v>250</v>
      </c>
      <c r="E189" s="100">
        <f>E187+E188</f>
        <v>12.67</v>
      </c>
      <c r="F189" s="100">
        <f t="shared" ref="F189:L189" si="35">F187+F188</f>
        <v>9.33</v>
      </c>
      <c r="G189" s="100">
        <f t="shared" si="35"/>
        <v>30.92</v>
      </c>
      <c r="H189" s="100">
        <f t="shared" si="35"/>
        <v>257.58999999999997</v>
      </c>
      <c r="I189" s="100">
        <f t="shared" si="35"/>
        <v>2.76</v>
      </c>
      <c r="J189" s="100">
        <f t="shared" si="35"/>
        <v>288.27999999999997</v>
      </c>
      <c r="K189" s="100">
        <f t="shared" si="35"/>
        <v>44.870000000000005</v>
      </c>
      <c r="L189" s="100">
        <f t="shared" si="35"/>
        <v>0.85</v>
      </c>
    </row>
    <row r="190" spans="1:12" s="73" customFormat="1" ht="18" customHeight="1">
      <c r="B190" s="151" t="s">
        <v>329</v>
      </c>
      <c r="C190" s="152"/>
      <c r="D190" s="152"/>
      <c r="E190" s="152"/>
      <c r="F190" s="152"/>
      <c r="G190" s="152"/>
      <c r="H190" s="152"/>
      <c r="I190" s="152"/>
      <c r="J190" s="152"/>
      <c r="K190" s="152"/>
      <c r="L190" s="153"/>
    </row>
    <row r="191" spans="1:12" s="73" customFormat="1" ht="18" customHeight="1">
      <c r="B191" s="74" t="s">
        <v>240</v>
      </c>
      <c r="C191" s="72" t="s">
        <v>239</v>
      </c>
      <c r="D191" s="77">
        <v>70</v>
      </c>
      <c r="E191" s="76">
        <v>10.57</v>
      </c>
      <c r="F191" s="76">
        <v>3.43</v>
      </c>
      <c r="G191" s="76">
        <v>7.19</v>
      </c>
      <c r="H191" s="76">
        <v>101.5</v>
      </c>
      <c r="I191" s="76">
        <v>2.29</v>
      </c>
      <c r="J191" s="76">
        <v>34.03</v>
      </c>
      <c r="K191" s="76">
        <v>25.29</v>
      </c>
      <c r="L191" s="76">
        <v>0.76</v>
      </c>
    </row>
    <row r="192" spans="1:12" s="73" customFormat="1" ht="18" customHeight="1">
      <c r="B192" s="74" t="s">
        <v>241</v>
      </c>
      <c r="C192" s="72" t="s">
        <v>41</v>
      </c>
      <c r="D192" s="77">
        <v>110</v>
      </c>
      <c r="E192" s="76">
        <v>2.2400000000000002</v>
      </c>
      <c r="F192" s="76">
        <v>3.52</v>
      </c>
      <c r="G192" s="76">
        <v>15</v>
      </c>
      <c r="H192" s="76">
        <v>100.65</v>
      </c>
      <c r="I192" s="76">
        <v>13.31</v>
      </c>
      <c r="J192" s="76">
        <v>27</v>
      </c>
      <c r="K192" s="76">
        <v>20.350000000000001</v>
      </c>
      <c r="L192" s="76">
        <v>0.74</v>
      </c>
    </row>
    <row r="193" spans="1:12" s="73" customFormat="1" ht="18" customHeight="1">
      <c r="B193" s="132" t="s">
        <v>183</v>
      </c>
      <c r="C193" s="72" t="s">
        <v>181</v>
      </c>
      <c r="D193" s="77">
        <v>100</v>
      </c>
      <c r="E193" s="76">
        <v>2.06</v>
      </c>
      <c r="F193" s="76">
        <v>3.24</v>
      </c>
      <c r="G193" s="76">
        <v>9.42</v>
      </c>
      <c r="H193" s="76">
        <v>75.099999999999994</v>
      </c>
      <c r="I193" s="76">
        <v>17.16</v>
      </c>
      <c r="J193" s="76">
        <v>55.44</v>
      </c>
      <c r="K193" s="76">
        <v>20</v>
      </c>
      <c r="L193" s="76">
        <v>0.8</v>
      </c>
    </row>
    <row r="194" spans="1:12" ht="18" customHeight="1">
      <c r="B194" s="132"/>
      <c r="C194" s="72" t="s">
        <v>16</v>
      </c>
      <c r="D194" s="77">
        <v>20</v>
      </c>
      <c r="E194" s="76">
        <v>1.22</v>
      </c>
      <c r="F194" s="76">
        <v>0.22</v>
      </c>
      <c r="G194" s="76">
        <v>9.8800000000000008</v>
      </c>
      <c r="H194" s="76">
        <v>45.95</v>
      </c>
      <c r="I194" s="76">
        <v>0</v>
      </c>
      <c r="J194" s="76">
        <v>4.5999999999999996</v>
      </c>
      <c r="K194" s="76">
        <v>5</v>
      </c>
      <c r="L194" s="76">
        <v>0.62</v>
      </c>
    </row>
    <row r="195" spans="1:12" s="73" customFormat="1" ht="18" customHeight="1">
      <c r="B195" s="132"/>
      <c r="C195" s="72" t="s">
        <v>136</v>
      </c>
      <c r="D195" s="77">
        <v>20</v>
      </c>
      <c r="E195" s="76">
        <v>1.58</v>
      </c>
      <c r="F195" s="76">
        <v>0.2</v>
      </c>
      <c r="G195" s="76">
        <v>9.66</v>
      </c>
      <c r="H195" s="76">
        <v>47</v>
      </c>
      <c r="I195" s="76">
        <v>0</v>
      </c>
      <c r="J195" s="76">
        <v>4.5999999999999996</v>
      </c>
      <c r="K195" s="76">
        <v>6.6</v>
      </c>
      <c r="L195" s="76">
        <v>0.4</v>
      </c>
    </row>
    <row r="196" spans="1:12" s="73" customFormat="1" ht="18" customHeight="1">
      <c r="B196" s="132" t="s">
        <v>202</v>
      </c>
      <c r="C196" s="72" t="s">
        <v>200</v>
      </c>
      <c r="D196" s="77" t="s">
        <v>279</v>
      </c>
      <c r="E196" s="76">
        <v>0.01</v>
      </c>
      <c r="F196" s="76">
        <v>0.01</v>
      </c>
      <c r="G196" s="76">
        <v>4.99</v>
      </c>
      <c r="H196" s="76">
        <v>19.95</v>
      </c>
      <c r="I196" s="76">
        <v>0.02</v>
      </c>
      <c r="J196" s="76">
        <v>7.94</v>
      </c>
      <c r="K196" s="76">
        <v>0.9</v>
      </c>
      <c r="L196" s="76">
        <v>0.18</v>
      </c>
    </row>
    <row r="197" spans="1:12" ht="18" customHeight="1">
      <c r="A197" s="40">
        <v>5</v>
      </c>
      <c r="B197" s="132"/>
      <c r="C197" s="132" t="s">
        <v>14</v>
      </c>
      <c r="D197" s="133">
        <v>475</v>
      </c>
      <c r="E197" s="132">
        <f>E191+E192+E193+E194+E195+E196</f>
        <v>17.680000000000003</v>
      </c>
      <c r="F197" s="132">
        <f t="shared" ref="F197:L197" si="36">F191+F192+F193+F194+F195+F196</f>
        <v>10.620000000000001</v>
      </c>
      <c r="G197" s="132">
        <f t="shared" si="36"/>
        <v>56.140000000000008</v>
      </c>
      <c r="H197" s="132">
        <f t="shared" si="36"/>
        <v>390.15</v>
      </c>
      <c r="I197" s="132">
        <f t="shared" si="36"/>
        <v>32.780000000000008</v>
      </c>
      <c r="J197" s="132">
        <f t="shared" si="36"/>
        <v>133.60999999999999</v>
      </c>
      <c r="K197" s="132">
        <f t="shared" si="36"/>
        <v>78.14</v>
      </c>
      <c r="L197" s="132">
        <f t="shared" si="36"/>
        <v>3.5</v>
      </c>
    </row>
    <row r="198" spans="1:12" ht="18" customHeight="1">
      <c r="A198" s="40">
        <v>5</v>
      </c>
      <c r="B198" s="132"/>
      <c r="C198" s="132" t="s">
        <v>21</v>
      </c>
      <c r="D198" s="77">
        <f t="shared" ref="D198:L198" si="37">D174+D177+D185+D189+D197</f>
        <v>1905</v>
      </c>
      <c r="E198" s="132">
        <f t="shared" si="37"/>
        <v>61.730000000000004</v>
      </c>
      <c r="F198" s="132">
        <f t="shared" si="37"/>
        <v>45.83</v>
      </c>
      <c r="G198" s="132">
        <f t="shared" si="37"/>
        <v>274.45</v>
      </c>
      <c r="H198" s="132">
        <f t="shared" si="37"/>
        <v>1502.44</v>
      </c>
      <c r="I198" s="132">
        <f t="shared" si="37"/>
        <v>82.09</v>
      </c>
      <c r="J198" s="132">
        <f t="shared" si="37"/>
        <v>727.82</v>
      </c>
      <c r="K198" s="132">
        <f t="shared" si="37"/>
        <v>222.85000000000002</v>
      </c>
      <c r="L198" s="132">
        <f t="shared" si="37"/>
        <v>19.079999999999998</v>
      </c>
    </row>
    <row r="199" spans="1:12" s="73" customFormat="1" ht="20.100000000000001" customHeight="1">
      <c r="B199" s="145"/>
      <c r="C199" s="145" t="s">
        <v>272</v>
      </c>
      <c r="D199" s="146"/>
      <c r="E199" s="145">
        <v>42</v>
      </c>
      <c r="F199" s="145">
        <v>47</v>
      </c>
      <c r="G199" s="145">
        <v>203</v>
      </c>
      <c r="H199" s="145">
        <v>1400</v>
      </c>
      <c r="I199" s="145">
        <v>45</v>
      </c>
      <c r="J199" s="145">
        <v>800</v>
      </c>
      <c r="K199" s="145">
        <v>80</v>
      </c>
      <c r="L199" s="145">
        <v>10</v>
      </c>
    </row>
    <row r="200" spans="1:12" s="73" customFormat="1" ht="20.100000000000001" customHeight="1">
      <c r="B200" s="147"/>
      <c r="C200" s="147" t="s">
        <v>273</v>
      </c>
      <c r="D200" s="148"/>
      <c r="E200" s="147">
        <f>ROUND(E198/E199*100-100,2)</f>
        <v>46.98</v>
      </c>
      <c r="F200" s="147">
        <f t="shared" ref="F200:L200" si="38">ROUND(F198/F199*100-100,2)</f>
        <v>-2.4900000000000002</v>
      </c>
      <c r="G200" s="147">
        <f t="shared" si="38"/>
        <v>35.200000000000003</v>
      </c>
      <c r="H200" s="147">
        <f t="shared" si="38"/>
        <v>7.32</v>
      </c>
      <c r="I200" s="147">
        <f t="shared" si="38"/>
        <v>82.42</v>
      </c>
      <c r="J200" s="147">
        <f t="shared" si="38"/>
        <v>-9.02</v>
      </c>
      <c r="K200" s="147">
        <f t="shared" si="38"/>
        <v>178.56</v>
      </c>
      <c r="L200" s="147">
        <f t="shared" si="38"/>
        <v>90.8</v>
      </c>
    </row>
    <row r="201" spans="1:12" s="35" customFormat="1" ht="20.100000000000001" customHeight="1">
      <c r="B201" s="36" t="s">
        <v>103</v>
      </c>
      <c r="C201" s="37"/>
      <c r="D201" s="46"/>
      <c r="E201" s="47"/>
      <c r="F201" s="47"/>
      <c r="G201" s="47"/>
      <c r="H201" s="47"/>
      <c r="I201" s="47"/>
      <c r="J201" s="47"/>
      <c r="K201" s="47"/>
      <c r="L201" s="47"/>
    </row>
    <row r="202" spans="1:12" s="35" customFormat="1" ht="20.100000000000001" customHeight="1">
      <c r="B202" s="36" t="s">
        <v>104</v>
      </c>
      <c r="C202" s="37"/>
      <c r="D202" s="46"/>
      <c r="E202" s="47"/>
      <c r="F202" s="47"/>
      <c r="G202" s="47"/>
      <c r="H202" s="47"/>
      <c r="I202" s="47"/>
      <c r="J202" s="47"/>
      <c r="K202" s="47"/>
      <c r="L202" s="47"/>
    </row>
    <row r="203" spans="1:12" s="35" customFormat="1" ht="20.100000000000001" customHeight="1">
      <c r="B203" s="36" t="s">
        <v>276</v>
      </c>
      <c r="C203" s="37"/>
      <c r="D203" s="46"/>
      <c r="E203" s="47"/>
      <c r="F203" s="47"/>
      <c r="G203" s="47"/>
      <c r="H203" s="47"/>
      <c r="I203" s="47"/>
      <c r="J203" s="47"/>
      <c r="K203" s="47"/>
      <c r="L203" s="47"/>
    </row>
    <row r="204" spans="1:12" s="35" customFormat="1" ht="20.100000000000001" hidden="1" customHeight="1">
      <c r="B204" s="45"/>
      <c r="C204" s="45"/>
      <c r="D204" s="46"/>
      <c r="E204" s="47"/>
      <c r="F204" s="47"/>
      <c r="G204" s="47"/>
      <c r="H204" s="47"/>
      <c r="I204" s="47"/>
      <c r="J204" s="47"/>
      <c r="K204" s="47"/>
      <c r="L204" s="47"/>
    </row>
    <row r="205" spans="1:12" s="35" customFormat="1" ht="35.25" customHeight="1">
      <c r="B205" s="163" t="s">
        <v>0</v>
      </c>
      <c r="C205" s="163" t="s">
        <v>1</v>
      </c>
      <c r="D205" s="157" t="s">
        <v>2</v>
      </c>
      <c r="E205" s="151" t="s">
        <v>3</v>
      </c>
      <c r="F205" s="152"/>
      <c r="G205" s="153"/>
      <c r="H205" s="159" t="s">
        <v>4</v>
      </c>
      <c r="I205" s="132"/>
      <c r="J205" s="151" t="s">
        <v>5</v>
      </c>
      <c r="K205" s="152"/>
      <c r="L205" s="153"/>
    </row>
    <row r="206" spans="1:12" s="35" customFormat="1" ht="31.5" customHeight="1">
      <c r="B206" s="164"/>
      <c r="C206" s="164"/>
      <c r="D206" s="158"/>
      <c r="E206" s="132" t="s">
        <v>6</v>
      </c>
      <c r="F206" s="132" t="s">
        <v>7</v>
      </c>
      <c r="G206" s="132" t="s">
        <v>8</v>
      </c>
      <c r="H206" s="160"/>
      <c r="I206" s="132" t="s">
        <v>9</v>
      </c>
      <c r="J206" s="132" t="s">
        <v>10</v>
      </c>
      <c r="K206" s="132" t="s">
        <v>11</v>
      </c>
      <c r="L206" s="132" t="s">
        <v>12</v>
      </c>
    </row>
    <row r="207" spans="1:12" ht="20.100000000000001" customHeight="1">
      <c r="A207" s="40">
        <v>6</v>
      </c>
      <c r="B207" s="154" t="s">
        <v>320</v>
      </c>
      <c r="C207" s="154"/>
      <c r="D207" s="154"/>
      <c r="E207" s="154"/>
      <c r="F207" s="154"/>
      <c r="G207" s="154"/>
      <c r="H207" s="154"/>
      <c r="I207" s="154"/>
      <c r="J207" s="154"/>
      <c r="K207" s="154"/>
      <c r="L207" s="154"/>
    </row>
    <row r="208" spans="1:12" ht="30" customHeight="1">
      <c r="A208" s="40">
        <v>6</v>
      </c>
      <c r="B208" s="64" t="s">
        <v>144</v>
      </c>
      <c r="C208" s="25" t="s">
        <v>293</v>
      </c>
      <c r="D208" s="42">
        <v>150</v>
      </c>
      <c r="E208" s="43">
        <v>3.3</v>
      </c>
      <c r="F208" s="43">
        <v>6.24</v>
      </c>
      <c r="G208" s="43">
        <v>11.9</v>
      </c>
      <c r="H208" s="43">
        <v>117.42</v>
      </c>
      <c r="I208" s="43">
        <v>0.39</v>
      </c>
      <c r="J208" s="43">
        <v>81.819999999999993</v>
      </c>
      <c r="K208" s="43">
        <v>10.8</v>
      </c>
      <c r="L208" s="43">
        <v>0.24</v>
      </c>
    </row>
    <row r="209" spans="1:12" ht="18" customHeight="1">
      <c r="A209" s="40">
        <v>6</v>
      </c>
      <c r="B209" s="41" t="s">
        <v>143</v>
      </c>
      <c r="C209" s="25" t="s">
        <v>128</v>
      </c>
      <c r="D209" s="42" t="s">
        <v>129</v>
      </c>
      <c r="E209" s="43">
        <v>6.7</v>
      </c>
      <c r="F209" s="43">
        <v>9.6</v>
      </c>
      <c r="G209" s="43">
        <v>13.2</v>
      </c>
      <c r="H209" s="43">
        <v>167</v>
      </c>
      <c r="I209" s="43">
        <v>0.05</v>
      </c>
      <c r="J209" s="43">
        <v>165.2</v>
      </c>
      <c r="K209" s="43">
        <v>17</v>
      </c>
      <c r="L209" s="43">
        <v>0.6</v>
      </c>
    </row>
    <row r="210" spans="1:12" ht="18" customHeight="1">
      <c r="A210" s="40">
        <v>6</v>
      </c>
      <c r="B210" s="41" t="s">
        <v>189</v>
      </c>
      <c r="C210" s="25" t="s">
        <v>42</v>
      </c>
      <c r="D210" s="42">
        <v>150</v>
      </c>
      <c r="E210" s="43">
        <v>3.15</v>
      </c>
      <c r="F210" s="43">
        <v>2.72</v>
      </c>
      <c r="G210" s="43">
        <v>8.9600000000000009</v>
      </c>
      <c r="H210" s="43">
        <v>77</v>
      </c>
      <c r="I210" s="43">
        <v>1.2</v>
      </c>
      <c r="J210" s="43">
        <v>114.7</v>
      </c>
      <c r="K210" s="43">
        <v>16.7</v>
      </c>
      <c r="L210" s="43">
        <v>0.41</v>
      </c>
    </row>
    <row r="211" spans="1:12" s="73" customFormat="1" ht="18" customHeight="1">
      <c r="A211" s="73">
        <v>6</v>
      </c>
      <c r="B211" s="78"/>
      <c r="C211" s="78" t="s">
        <v>14</v>
      </c>
      <c r="D211" s="83">
        <v>350</v>
      </c>
      <c r="E211" s="78">
        <f>E208+E209+E210</f>
        <v>13.15</v>
      </c>
      <c r="F211" s="102">
        <f t="shared" ref="F211:L211" si="39">F208+F209+F210</f>
        <v>18.559999999999999</v>
      </c>
      <c r="G211" s="102">
        <f t="shared" si="39"/>
        <v>34.06</v>
      </c>
      <c r="H211" s="102">
        <f t="shared" si="39"/>
        <v>361.42</v>
      </c>
      <c r="I211" s="102">
        <f t="shared" si="39"/>
        <v>1.64</v>
      </c>
      <c r="J211" s="102">
        <f t="shared" si="39"/>
        <v>361.71999999999997</v>
      </c>
      <c r="K211" s="102">
        <f t="shared" si="39"/>
        <v>44.5</v>
      </c>
      <c r="L211" s="102">
        <f t="shared" si="39"/>
        <v>1.25</v>
      </c>
    </row>
    <row r="212" spans="1:12" s="73" customFormat="1" ht="18" customHeight="1">
      <c r="B212" s="151" t="s">
        <v>330</v>
      </c>
      <c r="C212" s="152"/>
      <c r="D212" s="152"/>
      <c r="E212" s="152"/>
      <c r="F212" s="152"/>
      <c r="G212" s="152"/>
      <c r="H212" s="152"/>
      <c r="I212" s="152"/>
      <c r="J212" s="152"/>
      <c r="K212" s="152"/>
      <c r="L212" s="153"/>
    </row>
    <row r="213" spans="1:12" s="73" customFormat="1" ht="18" customHeight="1">
      <c r="B213" s="78" t="s">
        <v>355</v>
      </c>
      <c r="C213" s="72" t="s">
        <v>130</v>
      </c>
      <c r="D213" s="79">
        <v>150</v>
      </c>
      <c r="E213" s="43">
        <v>0.6</v>
      </c>
      <c r="F213" s="43">
        <v>0.6</v>
      </c>
      <c r="G213" s="43">
        <v>14.7</v>
      </c>
      <c r="H213" s="43">
        <v>70</v>
      </c>
      <c r="I213" s="43">
        <v>15</v>
      </c>
      <c r="J213" s="43">
        <v>24</v>
      </c>
      <c r="K213" s="43">
        <v>13.5</v>
      </c>
      <c r="L213" s="43">
        <v>3.3</v>
      </c>
    </row>
    <row r="214" spans="1:12" s="73" customFormat="1" ht="18" customHeight="1">
      <c r="B214" s="78"/>
      <c r="C214" s="134" t="s">
        <v>14</v>
      </c>
      <c r="D214" s="79">
        <f>D213</f>
        <v>150</v>
      </c>
      <c r="E214" s="57">
        <f>E213</f>
        <v>0.6</v>
      </c>
      <c r="F214" s="57">
        <f t="shared" ref="F214:L214" si="40">F213</f>
        <v>0.6</v>
      </c>
      <c r="G214" s="57">
        <f t="shared" si="40"/>
        <v>14.7</v>
      </c>
      <c r="H214" s="57">
        <f t="shared" si="40"/>
        <v>70</v>
      </c>
      <c r="I214" s="57">
        <f t="shared" si="40"/>
        <v>15</v>
      </c>
      <c r="J214" s="57">
        <f t="shared" si="40"/>
        <v>24</v>
      </c>
      <c r="K214" s="57">
        <f t="shared" si="40"/>
        <v>13.5</v>
      </c>
      <c r="L214" s="57">
        <f t="shared" si="40"/>
        <v>3.3</v>
      </c>
    </row>
    <row r="215" spans="1:12" ht="18" customHeight="1">
      <c r="A215" s="40">
        <v>6</v>
      </c>
      <c r="B215" s="162" t="s">
        <v>331</v>
      </c>
      <c r="C215" s="154"/>
      <c r="D215" s="154"/>
      <c r="E215" s="154"/>
      <c r="F215" s="154"/>
      <c r="G215" s="154"/>
      <c r="H215" s="154"/>
      <c r="I215" s="154"/>
      <c r="J215" s="154"/>
      <c r="K215" s="154"/>
      <c r="L215" s="154"/>
    </row>
    <row r="216" spans="1:12" ht="18" customHeight="1">
      <c r="A216" s="40">
        <v>6</v>
      </c>
      <c r="B216" s="53" t="s">
        <v>145</v>
      </c>
      <c r="C216" s="54" t="s">
        <v>131</v>
      </c>
      <c r="D216" s="55">
        <v>40</v>
      </c>
      <c r="E216" s="44">
        <v>0.56000000000000005</v>
      </c>
      <c r="F216" s="76">
        <v>2.0299999999999998</v>
      </c>
      <c r="G216" s="76">
        <v>3.6</v>
      </c>
      <c r="H216" s="76">
        <v>34.96</v>
      </c>
      <c r="I216" s="76">
        <v>12.98</v>
      </c>
      <c r="J216" s="76">
        <v>14.95</v>
      </c>
      <c r="K216" s="76">
        <v>6.06</v>
      </c>
      <c r="L216" s="76">
        <v>0.2</v>
      </c>
    </row>
    <row r="217" spans="1:12" ht="18" customHeight="1">
      <c r="B217" s="53" t="s">
        <v>146</v>
      </c>
      <c r="C217" s="54" t="s">
        <v>132</v>
      </c>
      <c r="D217" s="55">
        <v>40</v>
      </c>
      <c r="E217" s="76">
        <v>0.39</v>
      </c>
      <c r="F217" s="76">
        <v>2.46</v>
      </c>
      <c r="G217" s="76">
        <v>1.49</v>
      </c>
      <c r="H217" s="76">
        <v>29.68</v>
      </c>
      <c r="I217" s="76">
        <v>6.7</v>
      </c>
      <c r="J217" s="76">
        <v>7.47</v>
      </c>
      <c r="K217" s="76">
        <v>6.5</v>
      </c>
      <c r="L217" s="76">
        <v>0.3</v>
      </c>
    </row>
    <row r="218" spans="1:12" s="73" customFormat="1" ht="18" customHeight="1">
      <c r="B218" s="53"/>
      <c r="C218" s="54" t="s">
        <v>72</v>
      </c>
      <c r="D218" s="55"/>
      <c r="E218" s="123">
        <f>SUM(E216:E217)/2</f>
        <v>0.47500000000000003</v>
      </c>
      <c r="F218" s="123">
        <f t="shared" ref="F218" si="41">SUM(F216:F217)/2</f>
        <v>2.2450000000000001</v>
      </c>
      <c r="G218" s="123">
        <f t="shared" ref="G218" si="42">SUM(G216:G217)/2</f>
        <v>2.5449999999999999</v>
      </c>
      <c r="H218" s="123">
        <f t="shared" ref="H218" si="43">SUM(H216:H217)/2</f>
        <v>32.32</v>
      </c>
      <c r="I218" s="123">
        <f t="shared" ref="I218" si="44">SUM(I216:I217)/2</f>
        <v>9.84</v>
      </c>
      <c r="J218" s="123">
        <f t="shared" ref="J218" si="45">SUM(J216:J217)/2</f>
        <v>11.209999999999999</v>
      </c>
      <c r="K218" s="123">
        <f t="shared" ref="K218" si="46">SUM(K216:K217)/2</f>
        <v>6.2799999999999994</v>
      </c>
      <c r="L218" s="123">
        <f t="shared" ref="L218" si="47">SUM(L216:L217)/2</f>
        <v>0.25</v>
      </c>
    </row>
    <row r="219" spans="1:12" ht="18" customHeight="1">
      <c r="B219" s="53" t="s">
        <v>142</v>
      </c>
      <c r="C219" s="54" t="s">
        <v>133</v>
      </c>
      <c r="D219" s="55">
        <v>200</v>
      </c>
      <c r="E219" s="76">
        <v>1.18</v>
      </c>
      <c r="F219" s="76">
        <v>3.93</v>
      </c>
      <c r="G219" s="76">
        <v>4.87</v>
      </c>
      <c r="H219" s="76">
        <v>61</v>
      </c>
      <c r="I219" s="76">
        <v>7.9</v>
      </c>
      <c r="J219" s="76">
        <v>28.7</v>
      </c>
      <c r="K219" s="76">
        <v>11.34</v>
      </c>
      <c r="L219" s="76">
        <v>0.46</v>
      </c>
    </row>
    <row r="220" spans="1:12" s="73" customFormat="1" ht="18" customHeight="1">
      <c r="B220" s="53" t="s">
        <v>147</v>
      </c>
      <c r="C220" s="54" t="s">
        <v>134</v>
      </c>
      <c r="D220" s="55" t="s">
        <v>294</v>
      </c>
      <c r="E220" s="76">
        <v>15.12</v>
      </c>
      <c r="F220" s="76">
        <v>12.76</v>
      </c>
      <c r="G220" s="76">
        <v>26.76</v>
      </c>
      <c r="H220" s="76">
        <v>282</v>
      </c>
      <c r="I220" s="76">
        <v>0.41</v>
      </c>
      <c r="J220" s="76">
        <v>33.700000000000003</v>
      </c>
      <c r="K220" s="76">
        <v>34.799999999999997</v>
      </c>
      <c r="L220" s="76">
        <v>1.57</v>
      </c>
    </row>
    <row r="221" spans="1:12" ht="18" customHeight="1">
      <c r="B221" s="53" t="s">
        <v>149</v>
      </c>
      <c r="C221" s="54" t="s">
        <v>135</v>
      </c>
      <c r="D221" s="55">
        <v>180</v>
      </c>
      <c r="E221" s="76">
        <v>0.4</v>
      </c>
      <c r="F221" s="76">
        <v>0.02</v>
      </c>
      <c r="G221" s="76">
        <v>19</v>
      </c>
      <c r="H221" s="76">
        <v>77.7</v>
      </c>
      <c r="I221" s="76">
        <v>0.36</v>
      </c>
      <c r="J221" s="76">
        <v>28.54</v>
      </c>
      <c r="K221" s="76">
        <v>5.4</v>
      </c>
      <c r="L221" s="76">
        <v>1.1100000000000001</v>
      </c>
    </row>
    <row r="222" spans="1:12" ht="18" customHeight="1">
      <c r="B222" s="53"/>
      <c r="C222" s="54" t="s">
        <v>16</v>
      </c>
      <c r="D222" s="55">
        <v>20</v>
      </c>
      <c r="E222" s="76">
        <v>1.22</v>
      </c>
      <c r="F222" s="76">
        <v>0.22</v>
      </c>
      <c r="G222" s="76">
        <v>9.8800000000000008</v>
      </c>
      <c r="H222" s="76">
        <v>45.95</v>
      </c>
      <c r="I222" s="76">
        <v>0</v>
      </c>
      <c r="J222" s="76">
        <v>4.5999999999999996</v>
      </c>
      <c r="K222" s="76">
        <v>5</v>
      </c>
      <c r="L222" s="76">
        <v>0.62</v>
      </c>
    </row>
    <row r="223" spans="1:12" ht="18" customHeight="1">
      <c r="B223" s="53"/>
      <c r="C223" s="54" t="s">
        <v>136</v>
      </c>
      <c r="D223" s="55">
        <v>10</v>
      </c>
      <c r="E223" s="76">
        <v>0.79</v>
      </c>
      <c r="F223" s="76">
        <v>0.1</v>
      </c>
      <c r="G223" s="76">
        <v>4.83</v>
      </c>
      <c r="H223" s="76">
        <v>23.5</v>
      </c>
      <c r="I223" s="76">
        <v>0</v>
      </c>
      <c r="J223" s="76">
        <v>2.2999999999999998</v>
      </c>
      <c r="K223" s="76">
        <v>3.3</v>
      </c>
      <c r="L223" s="76">
        <v>0.2</v>
      </c>
    </row>
    <row r="224" spans="1:12" ht="18" customHeight="1">
      <c r="A224" s="40">
        <v>6</v>
      </c>
      <c r="B224" s="53"/>
      <c r="C224" s="134" t="s">
        <v>14</v>
      </c>
      <c r="D224" s="55">
        <v>620</v>
      </c>
      <c r="E224" s="102">
        <f>E219+E220+E221+E222+E223+E218</f>
        <v>19.184999999999999</v>
      </c>
      <c r="F224" s="123">
        <f t="shared" ref="F224:L224" si="48">F219+F220+F221+F222+F223+F218</f>
        <v>19.275000000000002</v>
      </c>
      <c r="G224" s="123">
        <f t="shared" si="48"/>
        <v>67.885000000000005</v>
      </c>
      <c r="H224" s="123">
        <f t="shared" si="48"/>
        <v>522.47</v>
      </c>
      <c r="I224" s="123">
        <f t="shared" si="48"/>
        <v>18.509999999999998</v>
      </c>
      <c r="J224" s="123">
        <f t="shared" si="48"/>
        <v>109.04999999999998</v>
      </c>
      <c r="K224" s="123">
        <f t="shared" si="48"/>
        <v>66.11999999999999</v>
      </c>
      <c r="L224" s="123">
        <f t="shared" si="48"/>
        <v>4.2100000000000009</v>
      </c>
    </row>
    <row r="225" spans="1:12" ht="18" customHeight="1">
      <c r="A225" s="40">
        <v>6</v>
      </c>
      <c r="B225" s="154" t="s">
        <v>332</v>
      </c>
      <c r="C225" s="154"/>
      <c r="D225" s="154"/>
      <c r="E225" s="154"/>
      <c r="F225" s="154"/>
      <c r="G225" s="154"/>
      <c r="H225" s="154"/>
      <c r="I225" s="154"/>
      <c r="J225" s="154"/>
      <c r="K225" s="154"/>
      <c r="L225" s="154"/>
    </row>
    <row r="226" spans="1:12" s="73" customFormat="1" ht="18" customHeight="1">
      <c r="B226" s="102" t="s">
        <v>148</v>
      </c>
      <c r="C226" s="72" t="s">
        <v>137</v>
      </c>
      <c r="D226" s="77">
        <v>50</v>
      </c>
      <c r="E226" s="76">
        <v>3.78</v>
      </c>
      <c r="F226" s="76">
        <v>3.1</v>
      </c>
      <c r="G226" s="76">
        <v>20.57</v>
      </c>
      <c r="H226" s="76">
        <v>125</v>
      </c>
      <c r="I226" s="76">
        <v>0.18</v>
      </c>
      <c r="J226" s="76">
        <v>41.8</v>
      </c>
      <c r="K226" s="76">
        <v>15.83</v>
      </c>
      <c r="L226" s="76">
        <v>0.65</v>
      </c>
    </row>
    <row r="227" spans="1:12" s="73" customFormat="1" ht="18" customHeight="1">
      <c r="B227" s="123" t="s">
        <v>151</v>
      </c>
      <c r="C227" s="72" t="s">
        <v>138</v>
      </c>
      <c r="D227" s="77">
        <v>30</v>
      </c>
      <c r="E227" s="76">
        <v>0.61</v>
      </c>
      <c r="F227" s="76">
        <v>1.32</v>
      </c>
      <c r="G227" s="76">
        <v>2.13</v>
      </c>
      <c r="H227" s="76">
        <v>25.14</v>
      </c>
      <c r="I227" s="76">
        <v>0.1</v>
      </c>
      <c r="J227" s="76">
        <v>19.75</v>
      </c>
      <c r="K227" s="76">
        <v>2.82</v>
      </c>
      <c r="L227" s="76">
        <v>0.06</v>
      </c>
    </row>
    <row r="228" spans="1:12" s="73" customFormat="1" ht="18" customHeight="1">
      <c r="B228" s="102" t="s">
        <v>150</v>
      </c>
      <c r="C228" s="72" t="s">
        <v>139</v>
      </c>
      <c r="D228" s="77">
        <v>200</v>
      </c>
      <c r="E228" s="76">
        <v>6.09</v>
      </c>
      <c r="F228" s="76">
        <v>5.42</v>
      </c>
      <c r="G228" s="76">
        <v>10.08</v>
      </c>
      <c r="H228" s="76">
        <v>113.3</v>
      </c>
      <c r="I228" s="76">
        <v>2.73</v>
      </c>
      <c r="J228" s="76">
        <v>252</v>
      </c>
      <c r="K228" s="76">
        <v>29.44</v>
      </c>
      <c r="L228" s="76">
        <v>0.21</v>
      </c>
    </row>
    <row r="229" spans="1:12" s="73" customFormat="1" ht="18" customHeight="1">
      <c r="B229" s="102"/>
      <c r="C229" s="134" t="s">
        <v>14</v>
      </c>
      <c r="D229" s="77">
        <v>280</v>
      </c>
      <c r="E229" s="102">
        <f>E226+E228+E227</f>
        <v>10.479999999999999</v>
      </c>
      <c r="F229" s="149">
        <f t="shared" ref="F229:L229" si="49">F226+F228+F227</f>
        <v>9.84</v>
      </c>
      <c r="G229" s="149">
        <f t="shared" si="49"/>
        <v>32.78</v>
      </c>
      <c r="H229" s="149">
        <f t="shared" si="49"/>
        <v>263.44</v>
      </c>
      <c r="I229" s="149">
        <f t="shared" si="49"/>
        <v>3.0100000000000002</v>
      </c>
      <c r="J229" s="149">
        <f t="shared" si="49"/>
        <v>313.55</v>
      </c>
      <c r="K229" s="149">
        <f t="shared" si="49"/>
        <v>48.09</v>
      </c>
      <c r="L229" s="149">
        <f t="shared" si="49"/>
        <v>0.91999999999999993</v>
      </c>
    </row>
    <row r="230" spans="1:12" s="73" customFormat="1" ht="18" customHeight="1">
      <c r="B230" s="151" t="s">
        <v>333</v>
      </c>
      <c r="C230" s="152"/>
      <c r="D230" s="152"/>
      <c r="E230" s="152"/>
      <c r="F230" s="152"/>
      <c r="G230" s="152"/>
      <c r="H230" s="152"/>
      <c r="I230" s="152"/>
      <c r="J230" s="152"/>
      <c r="K230" s="152"/>
      <c r="L230" s="153"/>
    </row>
    <row r="231" spans="1:12" ht="18" customHeight="1">
      <c r="A231" s="40">
        <v>6</v>
      </c>
      <c r="B231" s="41" t="s">
        <v>152</v>
      </c>
      <c r="C231" s="25" t="s">
        <v>140</v>
      </c>
      <c r="D231" s="77">
        <v>60</v>
      </c>
      <c r="E231" s="76">
        <v>8.1</v>
      </c>
      <c r="F231" s="76">
        <v>4</v>
      </c>
      <c r="G231" s="76">
        <v>9.1</v>
      </c>
      <c r="H231" s="76">
        <v>104.3</v>
      </c>
      <c r="I231" s="76">
        <v>1.38</v>
      </c>
      <c r="J231" s="76">
        <v>56.7</v>
      </c>
      <c r="K231" s="76">
        <v>33.75</v>
      </c>
      <c r="L231" s="76">
        <v>1.24</v>
      </c>
    </row>
    <row r="232" spans="1:12" ht="18" customHeight="1">
      <c r="B232" s="78" t="s">
        <v>153</v>
      </c>
      <c r="C232" s="72" t="s">
        <v>141</v>
      </c>
      <c r="D232" s="42">
        <v>110</v>
      </c>
      <c r="E232" s="76">
        <v>2.83</v>
      </c>
      <c r="F232" s="76">
        <v>9.1999999999999993</v>
      </c>
      <c r="G232" s="76">
        <v>20.11</v>
      </c>
      <c r="H232" s="76">
        <v>178</v>
      </c>
      <c r="I232" s="76">
        <v>11.63</v>
      </c>
      <c r="J232" s="76">
        <v>29.2</v>
      </c>
      <c r="K232" s="76">
        <v>23.3</v>
      </c>
      <c r="L232" s="76">
        <v>0.73</v>
      </c>
    </row>
    <row r="233" spans="1:12" ht="18" customHeight="1">
      <c r="B233" s="78"/>
      <c r="C233" s="72" t="s">
        <v>16</v>
      </c>
      <c r="D233" s="63">
        <v>20</v>
      </c>
      <c r="E233" s="76">
        <v>1.22</v>
      </c>
      <c r="F233" s="76">
        <v>0.22</v>
      </c>
      <c r="G233" s="76">
        <v>9.8800000000000008</v>
      </c>
      <c r="H233" s="76">
        <v>45.95</v>
      </c>
      <c r="I233" s="76">
        <v>0</v>
      </c>
      <c r="J233" s="76">
        <v>4.5999999999999996</v>
      </c>
      <c r="K233" s="76">
        <v>5</v>
      </c>
      <c r="L233" s="76">
        <v>0.62</v>
      </c>
    </row>
    <row r="234" spans="1:12" s="73" customFormat="1" ht="18" customHeight="1">
      <c r="B234" s="123"/>
      <c r="C234" s="72" t="s">
        <v>136</v>
      </c>
      <c r="D234" s="124">
        <v>10</v>
      </c>
      <c r="E234" s="76">
        <v>0.79</v>
      </c>
      <c r="F234" s="76">
        <v>0.1</v>
      </c>
      <c r="G234" s="76">
        <v>4.83</v>
      </c>
      <c r="H234" s="76">
        <v>23.5</v>
      </c>
      <c r="I234" s="76">
        <v>0</v>
      </c>
      <c r="J234" s="76">
        <v>2.2999999999999998</v>
      </c>
      <c r="K234" s="76">
        <v>3.3</v>
      </c>
      <c r="L234" s="76">
        <v>0.2</v>
      </c>
    </row>
    <row r="235" spans="1:12" s="73" customFormat="1" ht="18" customHeight="1">
      <c r="B235" s="123" t="s">
        <v>202</v>
      </c>
      <c r="C235" s="72" t="s">
        <v>200</v>
      </c>
      <c r="D235" s="124" t="s">
        <v>279</v>
      </c>
      <c r="E235" s="76">
        <v>0.01</v>
      </c>
      <c r="F235" s="76">
        <v>0.01</v>
      </c>
      <c r="G235" s="76">
        <v>4.99</v>
      </c>
      <c r="H235" s="76">
        <v>19.95</v>
      </c>
      <c r="I235" s="76">
        <v>0.02</v>
      </c>
      <c r="J235" s="76">
        <v>7.94</v>
      </c>
      <c r="K235" s="76">
        <v>0.9</v>
      </c>
      <c r="L235" s="76">
        <v>0.18</v>
      </c>
    </row>
    <row r="236" spans="1:12" ht="18" customHeight="1">
      <c r="B236" s="62"/>
      <c r="C236" s="134" t="s">
        <v>14</v>
      </c>
      <c r="D236" s="63">
        <v>355</v>
      </c>
      <c r="E236" s="57">
        <f>E231+E232+E233+E234+E235</f>
        <v>12.950000000000001</v>
      </c>
      <c r="F236" s="57">
        <f t="shared" ref="F236:L236" si="50">F231+F232+F233+F234+F235</f>
        <v>13.53</v>
      </c>
      <c r="G236" s="57">
        <f t="shared" si="50"/>
        <v>48.910000000000004</v>
      </c>
      <c r="H236" s="57">
        <f t="shared" si="50"/>
        <v>371.7</v>
      </c>
      <c r="I236" s="57">
        <f t="shared" si="50"/>
        <v>13.030000000000001</v>
      </c>
      <c r="J236" s="57">
        <f t="shared" si="50"/>
        <v>100.74</v>
      </c>
      <c r="K236" s="57">
        <f t="shared" si="50"/>
        <v>66.25</v>
      </c>
      <c r="L236" s="57">
        <f t="shared" si="50"/>
        <v>2.97</v>
      </c>
    </row>
    <row r="237" spans="1:12" ht="18" customHeight="1">
      <c r="B237" s="65"/>
      <c r="C237" s="102" t="s">
        <v>22</v>
      </c>
      <c r="D237" s="66">
        <f>D211+D214+D224+D229+D236</f>
        <v>1755</v>
      </c>
      <c r="E237" s="57">
        <f>E211+E214+E224+E236+E229</f>
        <v>56.365000000000002</v>
      </c>
      <c r="F237" s="57">
        <f t="shared" ref="F237:L237" si="51">F211+F214+F224+F236+F229</f>
        <v>61.805000000000007</v>
      </c>
      <c r="G237" s="57">
        <f t="shared" si="51"/>
        <v>198.33500000000001</v>
      </c>
      <c r="H237" s="57">
        <f t="shared" si="51"/>
        <v>1589.0300000000002</v>
      </c>
      <c r="I237" s="57">
        <f t="shared" si="51"/>
        <v>51.19</v>
      </c>
      <c r="J237" s="57">
        <f t="shared" si="51"/>
        <v>909.06</v>
      </c>
      <c r="K237" s="57">
        <f t="shared" si="51"/>
        <v>238.46</v>
      </c>
      <c r="L237" s="57">
        <f t="shared" si="51"/>
        <v>12.650000000000002</v>
      </c>
    </row>
    <row r="238" spans="1:12" s="73" customFormat="1" ht="20.100000000000001" customHeight="1">
      <c r="B238" s="145"/>
      <c r="C238" s="145" t="s">
        <v>272</v>
      </c>
      <c r="D238" s="146"/>
      <c r="E238" s="145">
        <v>42</v>
      </c>
      <c r="F238" s="145">
        <v>47</v>
      </c>
      <c r="G238" s="145">
        <v>203</v>
      </c>
      <c r="H238" s="145">
        <v>1400</v>
      </c>
      <c r="I238" s="145">
        <v>45</v>
      </c>
      <c r="J238" s="145">
        <v>800</v>
      </c>
      <c r="K238" s="145">
        <v>80</v>
      </c>
      <c r="L238" s="145">
        <v>10</v>
      </c>
    </row>
    <row r="239" spans="1:12" s="73" customFormat="1" ht="20.100000000000001" customHeight="1">
      <c r="B239" s="147"/>
      <c r="C239" s="147" t="s">
        <v>273</v>
      </c>
      <c r="D239" s="148"/>
      <c r="E239" s="147">
        <f>ROUND(E237/E238*100-100,2)</f>
        <v>34.200000000000003</v>
      </c>
      <c r="F239" s="147">
        <f t="shared" ref="F239:L239" si="52">ROUND(F237/F238*100-100,2)</f>
        <v>31.5</v>
      </c>
      <c r="G239" s="147">
        <f t="shared" si="52"/>
        <v>-2.2999999999999998</v>
      </c>
      <c r="H239" s="147">
        <f t="shared" si="52"/>
        <v>13.5</v>
      </c>
      <c r="I239" s="147">
        <f t="shared" si="52"/>
        <v>13.76</v>
      </c>
      <c r="J239" s="147">
        <f t="shared" si="52"/>
        <v>13.63</v>
      </c>
      <c r="K239" s="147">
        <f t="shared" si="52"/>
        <v>198.08</v>
      </c>
      <c r="L239" s="147">
        <f t="shared" si="52"/>
        <v>26.5</v>
      </c>
    </row>
    <row r="240" spans="1:12" s="35" customFormat="1" ht="20.100000000000001" customHeight="1">
      <c r="B240" s="36" t="s">
        <v>105</v>
      </c>
      <c r="C240" s="37"/>
      <c r="D240" s="46"/>
      <c r="E240" s="47"/>
      <c r="F240" s="47"/>
      <c r="G240" s="47"/>
      <c r="H240" s="47"/>
      <c r="I240" s="47"/>
      <c r="J240" s="47"/>
      <c r="K240" s="47"/>
      <c r="L240" s="47"/>
    </row>
    <row r="241" spans="1:12" s="35" customFormat="1" ht="20.100000000000001" customHeight="1">
      <c r="B241" s="36" t="s">
        <v>104</v>
      </c>
      <c r="C241" s="37"/>
      <c r="D241" s="46"/>
      <c r="E241" s="47"/>
      <c r="F241" s="47"/>
      <c r="G241" s="47"/>
      <c r="H241" s="47"/>
      <c r="I241" s="47"/>
      <c r="J241" s="47"/>
      <c r="K241" s="47"/>
      <c r="L241" s="47"/>
    </row>
    <row r="242" spans="1:12" s="35" customFormat="1">
      <c r="B242" s="36" t="s">
        <v>276</v>
      </c>
      <c r="C242" s="37"/>
      <c r="D242" s="38"/>
      <c r="E242" s="39"/>
      <c r="F242" s="39"/>
      <c r="G242" s="39"/>
      <c r="H242" s="39"/>
      <c r="I242" s="39"/>
      <c r="J242" s="39"/>
      <c r="K242" s="39"/>
      <c r="L242" s="39"/>
    </row>
    <row r="243" spans="1:12" s="35" customFormat="1" ht="36.75" customHeight="1">
      <c r="B243" s="155" t="s">
        <v>0</v>
      </c>
      <c r="C243" s="155" t="s">
        <v>1</v>
      </c>
      <c r="D243" s="156" t="s">
        <v>2</v>
      </c>
      <c r="E243" s="154" t="s">
        <v>3</v>
      </c>
      <c r="F243" s="154"/>
      <c r="G243" s="154"/>
      <c r="H243" s="154" t="s">
        <v>4</v>
      </c>
      <c r="I243" s="121"/>
      <c r="J243" s="154" t="s">
        <v>5</v>
      </c>
      <c r="K243" s="154"/>
      <c r="L243" s="154"/>
    </row>
    <row r="244" spans="1:12" s="35" customFormat="1" ht="27" customHeight="1">
      <c r="B244" s="155"/>
      <c r="C244" s="155"/>
      <c r="D244" s="156"/>
      <c r="E244" s="41" t="s">
        <v>6</v>
      </c>
      <c r="F244" s="41" t="s">
        <v>7</v>
      </c>
      <c r="G244" s="41" t="s">
        <v>8</v>
      </c>
      <c r="H244" s="154"/>
      <c r="I244" s="41" t="s">
        <v>9</v>
      </c>
      <c r="J244" s="41" t="s">
        <v>10</v>
      </c>
      <c r="K244" s="41" t="s">
        <v>11</v>
      </c>
      <c r="L244" s="41" t="s">
        <v>12</v>
      </c>
    </row>
    <row r="245" spans="1:12" ht="18" customHeight="1">
      <c r="A245" s="40">
        <v>7</v>
      </c>
      <c r="B245" s="154" t="s">
        <v>334</v>
      </c>
      <c r="C245" s="154"/>
      <c r="D245" s="154"/>
      <c r="E245" s="154"/>
      <c r="F245" s="154"/>
      <c r="G245" s="154"/>
      <c r="H245" s="154"/>
      <c r="I245" s="154"/>
      <c r="J245" s="154"/>
      <c r="K245" s="154"/>
      <c r="L245" s="154"/>
    </row>
    <row r="246" spans="1:12" ht="33" customHeight="1">
      <c r="A246" s="40">
        <v>7</v>
      </c>
      <c r="B246" s="41" t="s">
        <v>186</v>
      </c>
      <c r="C246" s="25" t="s">
        <v>185</v>
      </c>
      <c r="D246" s="77" t="s">
        <v>279</v>
      </c>
      <c r="E246" s="52">
        <v>5.65</v>
      </c>
      <c r="F246" s="44">
        <v>6.1</v>
      </c>
      <c r="G246" s="44">
        <v>27.28</v>
      </c>
      <c r="H246" s="44">
        <v>190.54</v>
      </c>
      <c r="I246" s="44">
        <v>0.88</v>
      </c>
      <c r="J246" s="44">
        <v>103.5</v>
      </c>
      <c r="K246" s="44">
        <v>36</v>
      </c>
      <c r="L246" s="44">
        <v>0.92</v>
      </c>
    </row>
    <row r="247" spans="1:12" ht="18" customHeight="1">
      <c r="A247" s="40">
        <v>7</v>
      </c>
      <c r="B247" s="41" t="s">
        <v>243</v>
      </c>
      <c r="C247" s="25" t="s">
        <v>242</v>
      </c>
      <c r="D247" s="42">
        <v>5</v>
      </c>
      <c r="E247" s="44">
        <v>0.04</v>
      </c>
      <c r="F247" s="44">
        <v>3.63</v>
      </c>
      <c r="G247" s="44">
        <v>7.0000000000000007E-2</v>
      </c>
      <c r="H247" s="44">
        <v>33</v>
      </c>
      <c r="I247" s="44">
        <v>0</v>
      </c>
      <c r="J247" s="44">
        <v>1.2</v>
      </c>
      <c r="K247" s="44">
        <v>0</v>
      </c>
      <c r="L247" s="44">
        <v>0.01</v>
      </c>
    </row>
    <row r="248" spans="1:12" ht="19.899999999999999" customHeight="1">
      <c r="B248" s="41"/>
      <c r="C248" s="25" t="s">
        <v>136</v>
      </c>
      <c r="D248" s="42">
        <v>25</v>
      </c>
      <c r="E248" s="44">
        <v>1.98</v>
      </c>
      <c r="F248" s="44">
        <v>0.25</v>
      </c>
      <c r="G248" s="44">
        <v>12.08</v>
      </c>
      <c r="H248" s="44">
        <v>58.75</v>
      </c>
      <c r="I248" s="44">
        <v>0</v>
      </c>
      <c r="J248" s="44">
        <v>5.75</v>
      </c>
      <c r="K248" s="44">
        <v>8.25</v>
      </c>
      <c r="L248" s="44">
        <v>0.5</v>
      </c>
    </row>
    <row r="249" spans="1:12" ht="18" customHeight="1">
      <c r="A249" s="40">
        <v>7</v>
      </c>
      <c r="B249" s="41" t="s">
        <v>161</v>
      </c>
      <c r="C249" s="25" t="s">
        <v>159</v>
      </c>
      <c r="D249" s="42">
        <v>150</v>
      </c>
      <c r="E249" s="44">
        <v>3.15</v>
      </c>
      <c r="F249" s="44">
        <v>2.72</v>
      </c>
      <c r="G249" s="44">
        <v>12.96</v>
      </c>
      <c r="H249" s="44">
        <v>89</v>
      </c>
      <c r="I249" s="44">
        <v>1.2</v>
      </c>
      <c r="J249" s="44">
        <v>114.7</v>
      </c>
      <c r="K249" s="44">
        <v>16.7</v>
      </c>
      <c r="L249" s="44">
        <v>0.41</v>
      </c>
    </row>
    <row r="250" spans="1:12" s="73" customFormat="1" ht="18" customHeight="1">
      <c r="A250" s="73">
        <v>7</v>
      </c>
      <c r="B250" s="78"/>
      <c r="C250" s="78" t="s">
        <v>14</v>
      </c>
      <c r="D250" s="79">
        <v>335</v>
      </c>
      <c r="E250" s="78">
        <f>E246+E247+E248+E249</f>
        <v>10.82</v>
      </c>
      <c r="F250" s="78">
        <f t="shared" ref="F250:L250" si="53">F246+F247+F248+F249</f>
        <v>12.700000000000001</v>
      </c>
      <c r="G250" s="78">
        <f t="shared" si="53"/>
        <v>52.39</v>
      </c>
      <c r="H250" s="78">
        <f t="shared" si="53"/>
        <v>371.28999999999996</v>
      </c>
      <c r="I250" s="78">
        <f t="shared" si="53"/>
        <v>2.08</v>
      </c>
      <c r="J250" s="78">
        <f t="shared" si="53"/>
        <v>225.15</v>
      </c>
      <c r="K250" s="78">
        <f t="shared" si="53"/>
        <v>60.95</v>
      </c>
      <c r="L250" s="78">
        <f t="shared" si="53"/>
        <v>1.84</v>
      </c>
    </row>
    <row r="251" spans="1:12" s="73" customFormat="1" ht="18" customHeight="1">
      <c r="B251" s="151" t="s">
        <v>335</v>
      </c>
      <c r="C251" s="152"/>
      <c r="D251" s="152"/>
      <c r="E251" s="152"/>
      <c r="F251" s="152"/>
      <c r="G251" s="152"/>
      <c r="H251" s="152"/>
      <c r="I251" s="152"/>
      <c r="J251" s="152"/>
      <c r="K251" s="152"/>
      <c r="L251" s="153"/>
    </row>
    <row r="252" spans="1:12" s="73" customFormat="1" ht="18" customHeight="1">
      <c r="B252" s="78" t="s">
        <v>355</v>
      </c>
      <c r="C252" s="72" t="s">
        <v>130</v>
      </c>
      <c r="D252" s="79">
        <v>120</v>
      </c>
      <c r="E252" s="76">
        <v>0.48</v>
      </c>
      <c r="F252" s="76">
        <v>0.48</v>
      </c>
      <c r="G252" s="76">
        <v>11.76</v>
      </c>
      <c r="H252" s="76">
        <v>56</v>
      </c>
      <c r="I252" s="76">
        <v>12</v>
      </c>
      <c r="J252" s="76">
        <v>19.2</v>
      </c>
      <c r="K252" s="76">
        <v>10.8</v>
      </c>
      <c r="L252" s="76">
        <v>2.64</v>
      </c>
    </row>
    <row r="253" spans="1:12" ht="18" customHeight="1">
      <c r="B253" s="41"/>
      <c r="C253" s="134" t="s">
        <v>14</v>
      </c>
      <c r="D253" s="81">
        <f>D252</f>
        <v>120</v>
      </c>
      <c r="E253" s="109">
        <f>E252</f>
        <v>0.48</v>
      </c>
      <c r="F253" s="132">
        <f t="shared" ref="F253:L253" si="54">F252</f>
        <v>0.48</v>
      </c>
      <c r="G253" s="132">
        <f t="shared" si="54"/>
        <v>11.76</v>
      </c>
      <c r="H253" s="132">
        <f t="shared" si="54"/>
        <v>56</v>
      </c>
      <c r="I253" s="132">
        <f t="shared" si="54"/>
        <v>12</v>
      </c>
      <c r="J253" s="132">
        <f t="shared" si="54"/>
        <v>19.2</v>
      </c>
      <c r="K253" s="132">
        <f t="shared" si="54"/>
        <v>10.8</v>
      </c>
      <c r="L253" s="132">
        <f t="shared" si="54"/>
        <v>2.64</v>
      </c>
    </row>
    <row r="254" spans="1:12" ht="18" customHeight="1">
      <c r="A254" s="40">
        <v>7</v>
      </c>
      <c r="B254" s="154" t="s">
        <v>336</v>
      </c>
      <c r="C254" s="154"/>
      <c r="D254" s="154"/>
      <c r="E254" s="154"/>
      <c r="F254" s="154"/>
      <c r="G254" s="154"/>
      <c r="H254" s="154"/>
      <c r="I254" s="154"/>
      <c r="J254" s="154"/>
      <c r="K254" s="154"/>
      <c r="L254" s="154"/>
    </row>
    <row r="255" spans="1:12" ht="18" customHeight="1">
      <c r="A255" s="40">
        <v>7</v>
      </c>
      <c r="B255" s="41" t="s">
        <v>198</v>
      </c>
      <c r="C255" s="25" t="s">
        <v>197</v>
      </c>
      <c r="D255" s="42">
        <v>40</v>
      </c>
      <c r="E255" s="44">
        <v>0.48</v>
      </c>
      <c r="F255" s="44">
        <v>1.89</v>
      </c>
      <c r="G255" s="44">
        <v>3.08</v>
      </c>
      <c r="H255" s="44">
        <v>31</v>
      </c>
      <c r="I255" s="44">
        <v>3</v>
      </c>
      <c r="J255" s="44">
        <v>16</v>
      </c>
      <c r="K255" s="44">
        <v>6</v>
      </c>
      <c r="L255" s="44">
        <v>0.28000000000000003</v>
      </c>
    </row>
    <row r="256" spans="1:12" ht="18" customHeight="1">
      <c r="B256" s="62" t="s">
        <v>296</v>
      </c>
      <c r="C256" s="25" t="s">
        <v>295</v>
      </c>
      <c r="D256" s="63">
        <v>200</v>
      </c>
      <c r="E256" s="44">
        <v>1.68</v>
      </c>
      <c r="F256" s="44">
        <v>2.69</v>
      </c>
      <c r="G256" s="44">
        <v>9.7100000000000009</v>
      </c>
      <c r="H256" s="44">
        <v>69.8</v>
      </c>
      <c r="I256" s="44">
        <v>4.5999999999999996</v>
      </c>
      <c r="J256" s="44">
        <v>18.78</v>
      </c>
      <c r="K256" s="44">
        <v>16</v>
      </c>
      <c r="L256" s="44">
        <v>0.65</v>
      </c>
    </row>
    <row r="257" spans="1:12" ht="18" customHeight="1">
      <c r="B257" s="62" t="s">
        <v>244</v>
      </c>
      <c r="C257" s="25" t="s">
        <v>245</v>
      </c>
      <c r="D257" s="63">
        <v>50</v>
      </c>
      <c r="E257" s="44">
        <v>10.1</v>
      </c>
      <c r="F257" s="44">
        <v>7</v>
      </c>
      <c r="G257" s="44">
        <v>6.8</v>
      </c>
      <c r="H257" s="44">
        <v>131</v>
      </c>
      <c r="I257" s="44">
        <v>6.19</v>
      </c>
      <c r="J257" s="44">
        <v>15.36</v>
      </c>
      <c r="K257" s="44">
        <v>11.8</v>
      </c>
      <c r="L257" s="44">
        <v>3.16</v>
      </c>
    </row>
    <row r="258" spans="1:12" ht="18" customHeight="1">
      <c r="B258" s="41" t="s">
        <v>241</v>
      </c>
      <c r="C258" s="25" t="s">
        <v>41</v>
      </c>
      <c r="D258" s="42">
        <v>110</v>
      </c>
      <c r="E258" s="76">
        <v>2.2400000000000002</v>
      </c>
      <c r="F258" s="76">
        <v>3.52</v>
      </c>
      <c r="G258" s="76">
        <v>15</v>
      </c>
      <c r="H258" s="76">
        <v>100.65</v>
      </c>
      <c r="I258" s="76">
        <v>13.31</v>
      </c>
      <c r="J258" s="76">
        <v>27</v>
      </c>
      <c r="K258" s="76">
        <v>20.350000000000001</v>
      </c>
      <c r="L258" s="76">
        <v>0.74</v>
      </c>
    </row>
    <row r="259" spans="1:12" ht="18" customHeight="1">
      <c r="B259" s="80" t="s">
        <v>184</v>
      </c>
      <c r="C259" s="72" t="s">
        <v>40</v>
      </c>
      <c r="D259" s="42">
        <v>180</v>
      </c>
      <c r="E259" s="76">
        <v>0.18</v>
      </c>
      <c r="F259" s="76">
        <v>0.09</v>
      </c>
      <c r="G259" s="76">
        <v>10.98</v>
      </c>
      <c r="H259" s="76">
        <v>44.1</v>
      </c>
      <c r="I259" s="76">
        <v>1.44</v>
      </c>
      <c r="J259" s="76">
        <v>5.29</v>
      </c>
      <c r="K259" s="76">
        <v>2.82</v>
      </c>
      <c r="L259" s="76">
        <v>0.71</v>
      </c>
    </row>
    <row r="260" spans="1:12" ht="18" customHeight="1">
      <c r="B260" s="80"/>
      <c r="C260" s="72" t="s">
        <v>16</v>
      </c>
      <c r="D260" s="42">
        <v>20</v>
      </c>
      <c r="E260" s="76">
        <v>1.22</v>
      </c>
      <c r="F260" s="76">
        <v>0.22</v>
      </c>
      <c r="G260" s="76">
        <v>9.8800000000000008</v>
      </c>
      <c r="H260" s="76">
        <v>45.95</v>
      </c>
      <c r="I260" s="76">
        <v>0</v>
      </c>
      <c r="J260" s="76">
        <v>4.5999999999999996</v>
      </c>
      <c r="K260" s="76">
        <v>5</v>
      </c>
      <c r="L260" s="76">
        <v>0.62</v>
      </c>
    </row>
    <row r="261" spans="1:12" ht="18.75" customHeight="1">
      <c r="B261" s="80"/>
      <c r="C261" s="72" t="s">
        <v>158</v>
      </c>
      <c r="D261" s="42">
        <v>10</v>
      </c>
      <c r="E261" s="76">
        <v>0.79</v>
      </c>
      <c r="F261" s="76">
        <v>0.1</v>
      </c>
      <c r="G261" s="76">
        <v>4.83</v>
      </c>
      <c r="H261" s="76">
        <v>23.5</v>
      </c>
      <c r="I261" s="76">
        <v>0</v>
      </c>
      <c r="J261" s="76">
        <v>2.2999999999999998</v>
      </c>
      <c r="K261" s="76">
        <v>3.3</v>
      </c>
      <c r="L261" s="76">
        <v>0.2</v>
      </c>
    </row>
    <row r="262" spans="1:12" ht="18" customHeight="1">
      <c r="B262" s="80"/>
      <c r="C262" s="134" t="s">
        <v>14</v>
      </c>
      <c r="D262" s="42">
        <f>D257+D258+D259+D260+D261+D256+D255</f>
        <v>610</v>
      </c>
      <c r="E262" s="109">
        <f>E257+E258+E259+E260+E261+E256+E255</f>
        <v>16.690000000000001</v>
      </c>
      <c r="F262" s="132">
        <f t="shared" ref="F262:L262" si="55">F257+F258+F259+F260+F261+F256+F255</f>
        <v>15.51</v>
      </c>
      <c r="G262" s="132">
        <f t="shared" si="55"/>
        <v>60.28</v>
      </c>
      <c r="H262" s="132">
        <f t="shared" si="55"/>
        <v>446</v>
      </c>
      <c r="I262" s="132">
        <f t="shared" si="55"/>
        <v>28.54</v>
      </c>
      <c r="J262" s="132">
        <f t="shared" si="55"/>
        <v>89.33</v>
      </c>
      <c r="K262" s="132">
        <f t="shared" si="55"/>
        <v>65.27000000000001</v>
      </c>
      <c r="L262" s="132">
        <f t="shared" si="55"/>
        <v>6.3600000000000012</v>
      </c>
    </row>
    <row r="263" spans="1:12" ht="18" customHeight="1">
      <c r="A263" s="40">
        <v>7</v>
      </c>
      <c r="B263" s="154" t="s">
        <v>337</v>
      </c>
      <c r="C263" s="154"/>
      <c r="D263" s="154"/>
      <c r="E263" s="154"/>
      <c r="F263" s="154"/>
      <c r="G263" s="154"/>
      <c r="H263" s="154"/>
      <c r="I263" s="154"/>
      <c r="J263" s="154"/>
      <c r="K263" s="154"/>
      <c r="L263" s="154"/>
    </row>
    <row r="264" spans="1:12" s="73" customFormat="1" ht="18" customHeight="1">
      <c r="B264" s="102"/>
      <c r="C264" s="72" t="s">
        <v>196</v>
      </c>
      <c r="D264" s="77">
        <v>30</v>
      </c>
      <c r="E264" s="76">
        <v>2.2200000000000002</v>
      </c>
      <c r="F264" s="76">
        <v>2.85</v>
      </c>
      <c r="G264" s="76">
        <v>21.9</v>
      </c>
      <c r="H264" s="76">
        <v>102.1</v>
      </c>
      <c r="I264" s="76">
        <v>0</v>
      </c>
      <c r="J264" s="76">
        <v>12.3</v>
      </c>
      <c r="K264" s="76">
        <v>4.5</v>
      </c>
      <c r="L264" s="76">
        <v>0.3</v>
      </c>
    </row>
    <row r="265" spans="1:12" s="73" customFormat="1" ht="18" customHeight="1">
      <c r="B265" s="132" t="s">
        <v>202</v>
      </c>
      <c r="C265" s="72" t="s">
        <v>246</v>
      </c>
      <c r="D265" s="77" t="s">
        <v>280</v>
      </c>
      <c r="E265" s="76">
        <v>4.6399999999999997</v>
      </c>
      <c r="F265" s="76">
        <v>4</v>
      </c>
      <c r="G265" s="76">
        <v>10.84</v>
      </c>
      <c r="H265" s="76">
        <v>97.78</v>
      </c>
      <c r="I265" s="76">
        <v>1.1200000000000001</v>
      </c>
      <c r="J265" s="76">
        <v>192</v>
      </c>
      <c r="K265" s="76">
        <v>22.4</v>
      </c>
      <c r="L265" s="76">
        <v>0.16</v>
      </c>
    </row>
    <row r="266" spans="1:12" s="73" customFormat="1" ht="18" customHeight="1">
      <c r="B266" s="102" t="s">
        <v>150</v>
      </c>
      <c r="C266" s="72" t="s">
        <v>247</v>
      </c>
      <c r="D266" s="77">
        <v>200</v>
      </c>
      <c r="E266" s="76">
        <v>6.09</v>
      </c>
      <c r="F266" s="76">
        <v>5.42</v>
      </c>
      <c r="G266" s="76">
        <v>10.08</v>
      </c>
      <c r="H266" s="76">
        <v>113.3</v>
      </c>
      <c r="I266" s="76">
        <v>2.73</v>
      </c>
      <c r="J266" s="76">
        <v>252</v>
      </c>
      <c r="K266" s="76">
        <v>29.44</v>
      </c>
      <c r="L266" s="76">
        <v>0.21</v>
      </c>
    </row>
    <row r="267" spans="1:12" s="73" customFormat="1" ht="18" customHeight="1">
      <c r="B267" s="132"/>
      <c r="C267" s="72" t="s">
        <v>72</v>
      </c>
      <c r="D267" s="77"/>
      <c r="E267" s="132">
        <f>SUM(E265:E266)/2</f>
        <v>5.3650000000000002</v>
      </c>
      <c r="F267" s="132">
        <f t="shared" ref="F267:L267" si="56">SUM(F265:F266)/2</f>
        <v>4.71</v>
      </c>
      <c r="G267" s="132">
        <f t="shared" si="56"/>
        <v>10.46</v>
      </c>
      <c r="H267" s="132">
        <f t="shared" si="56"/>
        <v>105.53999999999999</v>
      </c>
      <c r="I267" s="132">
        <f t="shared" si="56"/>
        <v>1.925</v>
      </c>
      <c r="J267" s="132">
        <f t="shared" si="56"/>
        <v>222</v>
      </c>
      <c r="K267" s="132">
        <f t="shared" si="56"/>
        <v>25.92</v>
      </c>
      <c r="L267" s="132">
        <f t="shared" si="56"/>
        <v>0.185</v>
      </c>
    </row>
    <row r="268" spans="1:12" s="73" customFormat="1" ht="18" customHeight="1">
      <c r="B268" s="102"/>
      <c r="C268" s="134" t="s">
        <v>14</v>
      </c>
      <c r="D268" s="77">
        <v>230</v>
      </c>
      <c r="E268" s="109">
        <f>E264+E267</f>
        <v>7.5850000000000009</v>
      </c>
      <c r="F268" s="132">
        <f t="shared" ref="F268:L268" si="57">F264+F267</f>
        <v>7.5600000000000005</v>
      </c>
      <c r="G268" s="132">
        <f t="shared" si="57"/>
        <v>32.36</v>
      </c>
      <c r="H268" s="132">
        <f t="shared" si="57"/>
        <v>207.64</v>
      </c>
      <c r="I268" s="132">
        <f t="shared" si="57"/>
        <v>1.925</v>
      </c>
      <c r="J268" s="132">
        <f t="shared" si="57"/>
        <v>234.3</v>
      </c>
      <c r="K268" s="132">
        <f t="shared" si="57"/>
        <v>30.42</v>
      </c>
      <c r="L268" s="132">
        <f t="shared" si="57"/>
        <v>0.48499999999999999</v>
      </c>
    </row>
    <row r="269" spans="1:12" s="73" customFormat="1" ht="18" customHeight="1">
      <c r="B269" s="151" t="s">
        <v>338</v>
      </c>
      <c r="C269" s="152"/>
      <c r="D269" s="152"/>
      <c r="E269" s="152"/>
      <c r="F269" s="152"/>
      <c r="G269" s="152"/>
      <c r="H269" s="152"/>
      <c r="I269" s="152"/>
      <c r="J269" s="152"/>
      <c r="K269" s="152"/>
      <c r="L269" s="153"/>
    </row>
    <row r="270" spans="1:12" s="73" customFormat="1" ht="18" customHeight="1">
      <c r="B270" s="80" t="s">
        <v>299</v>
      </c>
      <c r="C270" s="72" t="s">
        <v>297</v>
      </c>
      <c r="D270" s="77" t="s">
        <v>298</v>
      </c>
      <c r="E270" s="76">
        <v>7.37</v>
      </c>
      <c r="F270" s="76">
        <v>16.600000000000001</v>
      </c>
      <c r="G270" s="76">
        <v>7.68</v>
      </c>
      <c r="H270" s="76">
        <v>213.4</v>
      </c>
      <c r="I270" s="76">
        <v>0.08</v>
      </c>
      <c r="J270" s="76">
        <v>21.6</v>
      </c>
      <c r="K270" s="76">
        <v>17.71</v>
      </c>
      <c r="L270" s="76">
        <v>1.1399999999999999</v>
      </c>
    </row>
    <row r="271" spans="1:12" s="73" customFormat="1" ht="18" customHeight="1">
      <c r="B271" s="102" t="s">
        <v>154</v>
      </c>
      <c r="C271" s="72" t="s">
        <v>284</v>
      </c>
      <c r="D271" s="77">
        <v>110</v>
      </c>
      <c r="E271" s="76">
        <v>3.02</v>
      </c>
      <c r="F271" s="76">
        <v>2.96</v>
      </c>
      <c r="G271" s="76">
        <v>18.559999999999999</v>
      </c>
      <c r="H271" s="76">
        <v>112.93</v>
      </c>
      <c r="I271" s="76">
        <v>0</v>
      </c>
      <c r="J271" s="76">
        <v>12.32</v>
      </c>
      <c r="K271" s="76">
        <v>16.350000000000001</v>
      </c>
      <c r="L271" s="76">
        <v>1.29</v>
      </c>
    </row>
    <row r="272" spans="1:12" ht="20.25" customHeight="1">
      <c r="A272" s="40">
        <v>7</v>
      </c>
      <c r="B272" s="102" t="s">
        <v>183</v>
      </c>
      <c r="C272" s="72" t="s">
        <v>181</v>
      </c>
      <c r="D272" s="77">
        <v>100</v>
      </c>
      <c r="E272" s="76">
        <v>2.06</v>
      </c>
      <c r="F272" s="76">
        <v>3.24</v>
      </c>
      <c r="G272" s="76">
        <v>9.42</v>
      </c>
      <c r="H272" s="76">
        <v>75.099999999999994</v>
      </c>
      <c r="I272" s="76">
        <v>17.16</v>
      </c>
      <c r="J272" s="76">
        <v>55.44</v>
      </c>
      <c r="K272" s="76">
        <v>20</v>
      </c>
      <c r="L272" s="76">
        <v>0.8</v>
      </c>
    </row>
    <row r="273" spans="1:12" ht="18" customHeight="1">
      <c r="B273" s="102"/>
      <c r="C273" s="72" t="s">
        <v>16</v>
      </c>
      <c r="D273" s="77">
        <v>20</v>
      </c>
      <c r="E273" s="76">
        <v>1.22</v>
      </c>
      <c r="F273" s="76">
        <v>0.22</v>
      </c>
      <c r="G273" s="76">
        <v>9.8800000000000008</v>
      </c>
      <c r="H273" s="76">
        <v>45.95</v>
      </c>
      <c r="I273" s="76">
        <v>0</v>
      </c>
      <c r="J273" s="76">
        <v>4.5999999999999996</v>
      </c>
      <c r="K273" s="76">
        <v>5</v>
      </c>
      <c r="L273" s="76">
        <v>0.62</v>
      </c>
    </row>
    <row r="274" spans="1:12" s="73" customFormat="1" ht="18" customHeight="1">
      <c r="B274" s="132"/>
      <c r="C274" s="72" t="s">
        <v>158</v>
      </c>
      <c r="D274" s="77">
        <v>25</v>
      </c>
      <c r="E274" s="76">
        <v>1.98</v>
      </c>
      <c r="F274" s="76">
        <v>0.25</v>
      </c>
      <c r="G274" s="76">
        <v>12.08</v>
      </c>
      <c r="H274" s="76">
        <v>58.75</v>
      </c>
      <c r="I274" s="76">
        <v>0</v>
      </c>
      <c r="J274" s="76">
        <v>5.75</v>
      </c>
      <c r="K274" s="76">
        <v>8.25</v>
      </c>
      <c r="L274" s="76">
        <v>0.5</v>
      </c>
    </row>
    <row r="275" spans="1:12" s="73" customFormat="1" ht="18" customHeight="1">
      <c r="B275" s="132" t="s">
        <v>202</v>
      </c>
      <c r="C275" s="72" t="s">
        <v>200</v>
      </c>
      <c r="D275" s="77" t="s">
        <v>279</v>
      </c>
      <c r="E275" s="76">
        <v>0.01</v>
      </c>
      <c r="F275" s="76">
        <v>0.01</v>
      </c>
      <c r="G275" s="76">
        <v>4.99</v>
      </c>
      <c r="H275" s="76">
        <v>19.95</v>
      </c>
      <c r="I275" s="76">
        <v>0.02</v>
      </c>
      <c r="J275" s="76">
        <v>7.94</v>
      </c>
      <c r="K275" s="76">
        <v>0.9</v>
      </c>
      <c r="L275" s="76">
        <v>0.18</v>
      </c>
    </row>
    <row r="276" spans="1:12" ht="18" customHeight="1">
      <c r="A276" s="40">
        <v>7</v>
      </c>
      <c r="B276" s="41"/>
      <c r="C276" s="134" t="s">
        <v>14</v>
      </c>
      <c r="D276" s="42">
        <v>495</v>
      </c>
      <c r="E276" s="41">
        <f>E270+E271+E272+E273+E274+E275</f>
        <v>15.660000000000002</v>
      </c>
      <c r="F276" s="149">
        <f t="shared" ref="F276:L276" si="58">F270+F271+F272+F273+F274+F275</f>
        <v>23.280000000000005</v>
      </c>
      <c r="G276" s="149">
        <f t="shared" si="58"/>
        <v>62.61</v>
      </c>
      <c r="H276" s="149">
        <f t="shared" si="58"/>
        <v>526.08000000000004</v>
      </c>
      <c r="I276" s="149">
        <f t="shared" si="58"/>
        <v>17.259999999999998</v>
      </c>
      <c r="J276" s="149">
        <f t="shared" si="58"/>
        <v>107.64999999999999</v>
      </c>
      <c r="K276" s="149">
        <f t="shared" si="58"/>
        <v>68.210000000000008</v>
      </c>
      <c r="L276" s="149">
        <f t="shared" si="58"/>
        <v>4.5299999999999994</v>
      </c>
    </row>
    <row r="277" spans="1:12" ht="18" customHeight="1">
      <c r="A277" s="40">
        <v>7</v>
      </c>
      <c r="B277" s="41"/>
      <c r="C277" s="80" t="s">
        <v>23</v>
      </c>
      <c r="D277" s="42">
        <f>D250+D253+D262+D268+D276</f>
        <v>1790</v>
      </c>
      <c r="E277" s="41">
        <f>E250+E253+E262+E276</f>
        <v>43.650000000000006</v>
      </c>
      <c r="F277" s="80">
        <f t="shared" ref="F277:L277" si="59">F250+F253+F262+F276</f>
        <v>51.970000000000006</v>
      </c>
      <c r="G277" s="80">
        <f t="shared" si="59"/>
        <v>187.04000000000002</v>
      </c>
      <c r="H277" s="80">
        <f t="shared" si="59"/>
        <v>1399.37</v>
      </c>
      <c r="I277" s="80">
        <f t="shared" si="59"/>
        <v>59.879999999999995</v>
      </c>
      <c r="J277" s="80">
        <f t="shared" si="59"/>
        <v>441.33</v>
      </c>
      <c r="K277" s="80">
        <f t="shared" si="59"/>
        <v>205.23000000000002</v>
      </c>
      <c r="L277" s="80">
        <f t="shared" si="59"/>
        <v>15.370000000000001</v>
      </c>
    </row>
    <row r="278" spans="1:12" s="73" customFormat="1" ht="20.100000000000001" customHeight="1">
      <c r="B278" s="145"/>
      <c r="C278" s="145" t="s">
        <v>272</v>
      </c>
      <c r="D278" s="146"/>
      <c r="E278" s="145">
        <v>42</v>
      </c>
      <c r="F278" s="145">
        <v>47</v>
      </c>
      <c r="G278" s="145">
        <v>203</v>
      </c>
      <c r="H278" s="145">
        <v>1400</v>
      </c>
      <c r="I278" s="145">
        <v>45</v>
      </c>
      <c r="J278" s="145">
        <v>800</v>
      </c>
      <c r="K278" s="145">
        <v>80</v>
      </c>
      <c r="L278" s="145">
        <v>10</v>
      </c>
    </row>
    <row r="279" spans="1:12" s="73" customFormat="1" ht="20.100000000000001" customHeight="1">
      <c r="B279" s="147"/>
      <c r="C279" s="147" t="s">
        <v>273</v>
      </c>
      <c r="D279" s="148"/>
      <c r="E279" s="147">
        <f>ROUND(E277/E278*100-100,2)</f>
        <v>3.93</v>
      </c>
      <c r="F279" s="147">
        <f t="shared" ref="F279:L279" si="60">ROUND(F277/F278*100-100,2)</f>
        <v>10.57</v>
      </c>
      <c r="G279" s="147">
        <f t="shared" si="60"/>
        <v>-7.86</v>
      </c>
      <c r="H279" s="147">
        <f t="shared" si="60"/>
        <v>-0.05</v>
      </c>
      <c r="I279" s="147">
        <f t="shared" si="60"/>
        <v>33.07</v>
      </c>
      <c r="J279" s="147">
        <f t="shared" si="60"/>
        <v>-44.83</v>
      </c>
      <c r="K279" s="147">
        <f t="shared" si="60"/>
        <v>156.54</v>
      </c>
      <c r="L279" s="147">
        <f t="shared" si="60"/>
        <v>53.7</v>
      </c>
    </row>
    <row r="280" spans="1:12" s="35" customFormat="1" ht="20.100000000000001" customHeight="1">
      <c r="B280" s="36" t="s">
        <v>106</v>
      </c>
      <c r="C280" s="37"/>
      <c r="D280" s="46"/>
      <c r="E280" s="47"/>
      <c r="F280" s="47"/>
      <c r="G280" s="47"/>
      <c r="H280" s="47"/>
      <c r="I280" s="47"/>
      <c r="J280" s="47"/>
      <c r="K280" s="47"/>
      <c r="L280" s="47"/>
    </row>
    <row r="281" spans="1:12" s="35" customFormat="1" ht="20.100000000000001" customHeight="1">
      <c r="B281" s="36" t="s">
        <v>104</v>
      </c>
      <c r="C281" s="37"/>
      <c r="D281" s="46"/>
      <c r="E281" s="47"/>
      <c r="F281" s="47"/>
      <c r="G281" s="47"/>
      <c r="H281" s="47"/>
      <c r="I281" s="47"/>
      <c r="J281" s="47"/>
      <c r="K281" s="47"/>
      <c r="L281" s="47"/>
    </row>
    <row r="282" spans="1:12" s="35" customFormat="1">
      <c r="B282" s="36" t="s">
        <v>276</v>
      </c>
      <c r="C282" s="37"/>
      <c r="D282" s="38"/>
      <c r="E282" s="39"/>
      <c r="F282" s="39"/>
      <c r="G282" s="39"/>
      <c r="H282" s="39"/>
      <c r="I282" s="39"/>
      <c r="J282" s="39"/>
      <c r="K282" s="39"/>
      <c r="L282" s="39"/>
    </row>
    <row r="283" spans="1:12" s="35" customFormat="1" ht="17.45" customHeight="1">
      <c r="B283" s="45"/>
      <c r="C283" s="45"/>
      <c r="D283" s="46"/>
      <c r="E283" s="47"/>
      <c r="F283" s="47"/>
      <c r="G283" s="47"/>
      <c r="H283" s="47"/>
      <c r="I283" s="47"/>
      <c r="J283" s="47"/>
      <c r="K283" s="47"/>
      <c r="L283" s="47"/>
    </row>
    <row r="284" spans="1:12" s="35" customFormat="1" ht="36" customHeight="1">
      <c r="B284" s="155" t="s">
        <v>0</v>
      </c>
      <c r="C284" s="155" t="s">
        <v>1</v>
      </c>
      <c r="D284" s="156" t="s">
        <v>2</v>
      </c>
      <c r="E284" s="154" t="s">
        <v>3</v>
      </c>
      <c r="F284" s="154"/>
      <c r="G284" s="154"/>
      <c r="H284" s="154" t="s">
        <v>4</v>
      </c>
      <c r="I284" s="121"/>
      <c r="J284" s="154" t="s">
        <v>5</v>
      </c>
      <c r="K284" s="154"/>
      <c r="L284" s="154"/>
    </row>
    <row r="285" spans="1:12" s="35" customFormat="1" ht="38.25" customHeight="1">
      <c r="B285" s="155"/>
      <c r="C285" s="155"/>
      <c r="D285" s="156"/>
      <c r="E285" s="41" t="s">
        <v>6</v>
      </c>
      <c r="F285" s="41" t="s">
        <v>7</v>
      </c>
      <c r="G285" s="41" t="s">
        <v>8</v>
      </c>
      <c r="H285" s="154"/>
      <c r="I285" s="41" t="s">
        <v>9</v>
      </c>
      <c r="J285" s="41" t="s">
        <v>10</v>
      </c>
      <c r="K285" s="41" t="s">
        <v>11</v>
      </c>
      <c r="L285" s="41" t="s">
        <v>12</v>
      </c>
    </row>
    <row r="286" spans="1:12" ht="18" customHeight="1">
      <c r="A286" s="40">
        <v>8</v>
      </c>
      <c r="B286" s="154" t="s">
        <v>339</v>
      </c>
      <c r="C286" s="154"/>
      <c r="D286" s="154"/>
      <c r="E286" s="154"/>
      <c r="F286" s="154"/>
      <c r="G286" s="154"/>
      <c r="H286" s="154"/>
      <c r="I286" s="154"/>
      <c r="J286" s="154"/>
      <c r="K286" s="154"/>
      <c r="L286" s="154"/>
    </row>
    <row r="287" spans="1:12" ht="36" customHeight="1">
      <c r="A287" s="40">
        <v>8</v>
      </c>
      <c r="B287" s="41" t="s">
        <v>301</v>
      </c>
      <c r="C287" s="25" t="s">
        <v>300</v>
      </c>
      <c r="D287" s="77">
        <v>150</v>
      </c>
      <c r="E287" s="43">
        <v>2.2200000000000002</v>
      </c>
      <c r="F287" s="43">
        <v>2.68</v>
      </c>
      <c r="G287" s="43">
        <v>4.5999999999999996</v>
      </c>
      <c r="H287" s="43">
        <v>53.4</v>
      </c>
      <c r="I287" s="43">
        <v>0.5</v>
      </c>
      <c r="J287" s="43">
        <v>95.7</v>
      </c>
      <c r="K287" s="43">
        <v>53.03</v>
      </c>
      <c r="L287" s="43">
        <v>0.1</v>
      </c>
    </row>
    <row r="288" spans="1:12" ht="18" customHeight="1">
      <c r="B288" s="82" t="s">
        <v>155</v>
      </c>
      <c r="C288" s="25" t="s">
        <v>275</v>
      </c>
      <c r="D288" s="63" t="s">
        <v>274</v>
      </c>
      <c r="E288" s="43">
        <v>7.52</v>
      </c>
      <c r="F288" s="43">
        <v>13.46</v>
      </c>
      <c r="G288" s="43">
        <v>1.51</v>
      </c>
      <c r="H288" s="43">
        <v>157</v>
      </c>
      <c r="I288" s="43">
        <v>0.15</v>
      </c>
      <c r="J288" s="43">
        <v>62.8</v>
      </c>
      <c r="K288" s="43">
        <v>10.4</v>
      </c>
      <c r="L288" s="43">
        <v>1.54</v>
      </c>
    </row>
    <row r="289" spans="1:12" ht="18.600000000000001" customHeight="1">
      <c r="B289" s="82"/>
      <c r="C289" s="72" t="s">
        <v>158</v>
      </c>
      <c r="D289" s="63">
        <v>25</v>
      </c>
      <c r="E289" s="43">
        <v>1.98</v>
      </c>
      <c r="F289" s="43">
        <v>0.25</v>
      </c>
      <c r="G289" s="43">
        <v>12.08</v>
      </c>
      <c r="H289" s="43">
        <v>58.75</v>
      </c>
      <c r="I289" s="43">
        <v>0</v>
      </c>
      <c r="J289" s="43">
        <v>5.75</v>
      </c>
      <c r="K289" s="43">
        <v>8.25</v>
      </c>
      <c r="L289" s="43">
        <v>0.5</v>
      </c>
    </row>
    <row r="290" spans="1:12" ht="18" customHeight="1">
      <c r="B290" s="82" t="s">
        <v>202</v>
      </c>
      <c r="C290" s="72" t="s">
        <v>200</v>
      </c>
      <c r="D290" s="42" t="s">
        <v>279</v>
      </c>
      <c r="E290" s="43">
        <v>0.01</v>
      </c>
      <c r="F290" s="43">
        <v>0.01</v>
      </c>
      <c r="G290" s="43">
        <v>4.99</v>
      </c>
      <c r="H290" s="43">
        <v>19.95</v>
      </c>
      <c r="I290" s="43">
        <v>0.02</v>
      </c>
      <c r="J290" s="43">
        <v>7.94</v>
      </c>
      <c r="K290" s="43">
        <v>0.9</v>
      </c>
      <c r="L290" s="43">
        <v>0.18</v>
      </c>
    </row>
    <row r="291" spans="1:12" ht="18" customHeight="1">
      <c r="A291" s="40">
        <v>8</v>
      </c>
      <c r="B291" s="41"/>
      <c r="C291" s="134" t="s">
        <v>14</v>
      </c>
      <c r="D291" s="42">
        <v>415</v>
      </c>
      <c r="E291" s="57">
        <f>E287+E288+E289+E290</f>
        <v>11.73</v>
      </c>
      <c r="F291" s="57">
        <f t="shared" ref="F291:L291" si="61">F287+F288+F289+F290</f>
        <v>16.400000000000002</v>
      </c>
      <c r="G291" s="57">
        <f t="shared" si="61"/>
        <v>23.18</v>
      </c>
      <c r="H291" s="57">
        <f t="shared" si="61"/>
        <v>289.09999999999997</v>
      </c>
      <c r="I291" s="57">
        <f t="shared" si="61"/>
        <v>0.67</v>
      </c>
      <c r="J291" s="57">
        <f t="shared" si="61"/>
        <v>172.19</v>
      </c>
      <c r="K291" s="57">
        <f t="shared" si="61"/>
        <v>72.580000000000013</v>
      </c>
      <c r="L291" s="57">
        <f t="shared" si="61"/>
        <v>2.3200000000000003</v>
      </c>
    </row>
    <row r="292" spans="1:12" s="73" customFormat="1" ht="18" customHeight="1">
      <c r="B292" s="151" t="s">
        <v>340</v>
      </c>
      <c r="C292" s="152"/>
      <c r="D292" s="152"/>
      <c r="E292" s="152"/>
      <c r="F292" s="152"/>
      <c r="G292" s="152"/>
      <c r="H292" s="152"/>
      <c r="I292" s="152"/>
      <c r="J292" s="152"/>
      <c r="K292" s="152"/>
      <c r="L292" s="153"/>
    </row>
    <row r="293" spans="1:12" s="73" customFormat="1" ht="18" customHeight="1">
      <c r="B293" s="82" t="s">
        <v>163</v>
      </c>
      <c r="C293" s="72" t="s">
        <v>162</v>
      </c>
      <c r="D293" s="77">
        <v>150</v>
      </c>
      <c r="E293" s="43">
        <v>0.75</v>
      </c>
      <c r="F293" s="43">
        <v>0</v>
      </c>
      <c r="G293" s="43">
        <v>15.15</v>
      </c>
      <c r="H293" s="43">
        <v>64</v>
      </c>
      <c r="I293" s="43">
        <v>3</v>
      </c>
      <c r="J293" s="43">
        <v>10.5</v>
      </c>
      <c r="K293" s="43">
        <v>6</v>
      </c>
      <c r="L293" s="43">
        <v>2.1</v>
      </c>
    </row>
    <row r="294" spans="1:12" s="73" customFormat="1" ht="18" customHeight="1">
      <c r="B294" s="82"/>
      <c r="C294" s="134" t="s">
        <v>14</v>
      </c>
      <c r="D294" s="83">
        <f>D293</f>
        <v>150</v>
      </c>
      <c r="E294" s="57">
        <f>E293</f>
        <v>0.75</v>
      </c>
      <c r="F294" s="57">
        <f t="shared" ref="F294:L294" si="62">F293</f>
        <v>0</v>
      </c>
      <c r="G294" s="57">
        <f t="shared" si="62"/>
        <v>15.15</v>
      </c>
      <c r="H294" s="57">
        <f t="shared" si="62"/>
        <v>64</v>
      </c>
      <c r="I294" s="57">
        <f t="shared" si="62"/>
        <v>3</v>
      </c>
      <c r="J294" s="57">
        <f t="shared" si="62"/>
        <v>10.5</v>
      </c>
      <c r="K294" s="57">
        <f t="shared" si="62"/>
        <v>6</v>
      </c>
      <c r="L294" s="57">
        <f t="shared" si="62"/>
        <v>2.1</v>
      </c>
    </row>
    <row r="295" spans="1:12" ht="18" customHeight="1">
      <c r="A295" s="40">
        <v>8</v>
      </c>
      <c r="B295" s="154" t="s">
        <v>341</v>
      </c>
      <c r="C295" s="154"/>
      <c r="D295" s="154"/>
      <c r="E295" s="154"/>
      <c r="F295" s="154"/>
      <c r="G295" s="154"/>
      <c r="H295" s="154"/>
      <c r="I295" s="154"/>
      <c r="J295" s="154"/>
      <c r="K295" s="154"/>
      <c r="L295" s="154"/>
    </row>
    <row r="296" spans="1:12" ht="18" customHeight="1">
      <c r="B296" s="62" t="s">
        <v>226</v>
      </c>
      <c r="C296" s="25" t="s">
        <v>225</v>
      </c>
      <c r="D296" s="64">
        <v>40</v>
      </c>
      <c r="E296" s="44">
        <v>0.88</v>
      </c>
      <c r="F296" s="76">
        <v>1.84</v>
      </c>
      <c r="G296" s="76">
        <v>4.3499999999999996</v>
      </c>
      <c r="H296" s="76">
        <v>37.479999999999997</v>
      </c>
      <c r="I296" s="76">
        <v>2.0499999999999998</v>
      </c>
      <c r="J296" s="76">
        <v>12.26</v>
      </c>
      <c r="K296" s="76">
        <v>16.510000000000002</v>
      </c>
      <c r="L296" s="76">
        <v>0.49</v>
      </c>
    </row>
    <row r="297" spans="1:12" ht="18" customHeight="1">
      <c r="A297" s="40">
        <v>8</v>
      </c>
      <c r="B297" s="82" t="s">
        <v>234</v>
      </c>
      <c r="C297" s="25" t="s">
        <v>233</v>
      </c>
      <c r="D297" s="77" t="s">
        <v>292</v>
      </c>
      <c r="E297" s="76">
        <v>1.64</v>
      </c>
      <c r="F297" s="76">
        <v>6.89</v>
      </c>
      <c r="G297" s="76">
        <v>68.150000000000006</v>
      </c>
      <c r="H297" s="76">
        <v>88.3</v>
      </c>
      <c r="I297" s="76">
        <v>14.82</v>
      </c>
      <c r="J297" s="76">
        <v>43.1</v>
      </c>
      <c r="K297" s="76">
        <v>18.8</v>
      </c>
      <c r="L297" s="76">
        <v>0.64</v>
      </c>
    </row>
    <row r="298" spans="1:12" ht="18" customHeight="1">
      <c r="A298" s="40">
        <v>8</v>
      </c>
      <c r="B298" s="82" t="s">
        <v>249</v>
      </c>
      <c r="C298" s="25" t="s">
        <v>248</v>
      </c>
      <c r="D298" s="77">
        <v>60</v>
      </c>
      <c r="E298" s="76">
        <v>9.6300000000000008</v>
      </c>
      <c r="F298" s="44">
        <v>8.68</v>
      </c>
      <c r="G298" s="44">
        <v>13.46</v>
      </c>
      <c r="H298" s="44">
        <v>212</v>
      </c>
      <c r="I298" s="44">
        <v>0.73</v>
      </c>
      <c r="J298" s="44">
        <v>34.1</v>
      </c>
      <c r="K298" s="44">
        <v>21.6</v>
      </c>
      <c r="L298" s="44">
        <v>1.3</v>
      </c>
    </row>
    <row r="299" spans="1:12" ht="18" customHeight="1">
      <c r="A299" s="40">
        <v>8</v>
      </c>
      <c r="B299" s="82" t="s">
        <v>212</v>
      </c>
      <c r="C299" s="25" t="s">
        <v>211</v>
      </c>
      <c r="D299" s="42">
        <v>110</v>
      </c>
      <c r="E299" s="76">
        <v>1.65</v>
      </c>
      <c r="F299" s="76">
        <v>2.81</v>
      </c>
      <c r="G299" s="76">
        <v>17.079999999999998</v>
      </c>
      <c r="H299" s="76">
        <v>100</v>
      </c>
      <c r="I299" s="76">
        <v>0.78</v>
      </c>
      <c r="J299" s="76">
        <v>3.19</v>
      </c>
      <c r="K299" s="76">
        <v>11.64</v>
      </c>
      <c r="L299" s="76">
        <v>0.25</v>
      </c>
    </row>
    <row r="300" spans="1:12" ht="30" customHeight="1">
      <c r="A300" s="40">
        <v>8</v>
      </c>
      <c r="B300" s="82" t="s">
        <v>195</v>
      </c>
      <c r="C300" s="25" t="s">
        <v>358</v>
      </c>
      <c r="D300" s="42">
        <v>150</v>
      </c>
      <c r="E300" s="76">
        <v>0</v>
      </c>
      <c r="F300" s="76">
        <v>0</v>
      </c>
      <c r="G300" s="76">
        <v>10.01</v>
      </c>
      <c r="H300" s="76">
        <v>37</v>
      </c>
      <c r="I300" s="76">
        <v>0</v>
      </c>
      <c r="J300" s="76">
        <v>0.21</v>
      </c>
      <c r="K300" s="76">
        <v>0</v>
      </c>
      <c r="L300" s="76">
        <v>0.03</v>
      </c>
    </row>
    <row r="301" spans="1:12" ht="18" customHeight="1">
      <c r="A301" s="40">
        <v>8</v>
      </c>
      <c r="B301" s="82"/>
      <c r="C301" s="25" t="s">
        <v>16</v>
      </c>
      <c r="D301" s="42">
        <v>20</v>
      </c>
      <c r="E301" s="76">
        <v>1.22</v>
      </c>
      <c r="F301" s="76">
        <v>0.22</v>
      </c>
      <c r="G301" s="76">
        <v>9.8800000000000008</v>
      </c>
      <c r="H301" s="76">
        <v>45.95</v>
      </c>
      <c r="I301" s="76">
        <v>0</v>
      </c>
      <c r="J301" s="76">
        <v>4.5999999999999996</v>
      </c>
      <c r="K301" s="76">
        <v>5</v>
      </c>
      <c r="L301" s="76">
        <v>0.62</v>
      </c>
    </row>
    <row r="302" spans="1:12" ht="18" customHeight="1">
      <c r="A302" s="40">
        <v>8</v>
      </c>
      <c r="B302" s="82"/>
      <c r="C302" s="25" t="s">
        <v>136</v>
      </c>
      <c r="D302" s="42">
        <v>15</v>
      </c>
      <c r="E302" s="76">
        <v>1.19</v>
      </c>
      <c r="F302" s="76">
        <v>0.15</v>
      </c>
      <c r="G302" s="76">
        <v>7.25</v>
      </c>
      <c r="H302" s="76">
        <v>35.25</v>
      </c>
      <c r="I302" s="76">
        <v>0</v>
      </c>
      <c r="J302" s="76">
        <v>3.45</v>
      </c>
      <c r="K302" s="76">
        <v>4.95</v>
      </c>
      <c r="L302" s="76">
        <v>0.3</v>
      </c>
    </row>
    <row r="303" spans="1:12" ht="18" customHeight="1">
      <c r="A303" s="40">
        <v>8</v>
      </c>
      <c r="B303" s="41"/>
      <c r="C303" s="41" t="s">
        <v>14</v>
      </c>
      <c r="D303" s="83">
        <v>605</v>
      </c>
      <c r="E303" s="41">
        <f>E296+E297+E298+E299+E300+E301+E302</f>
        <v>16.21</v>
      </c>
      <c r="F303" s="120">
        <f t="shared" ref="F303:L303" si="63">F296+F297+F298+F299+F300+F301+F302</f>
        <v>20.589999999999996</v>
      </c>
      <c r="G303" s="120">
        <f t="shared" si="63"/>
        <v>130.18</v>
      </c>
      <c r="H303" s="120">
        <f t="shared" si="63"/>
        <v>555.98</v>
      </c>
      <c r="I303" s="120">
        <f t="shared" si="63"/>
        <v>18.380000000000003</v>
      </c>
      <c r="J303" s="120">
        <f t="shared" si="63"/>
        <v>100.91</v>
      </c>
      <c r="K303" s="120">
        <f t="shared" si="63"/>
        <v>78.500000000000014</v>
      </c>
      <c r="L303" s="120">
        <f t="shared" si="63"/>
        <v>3.6299999999999994</v>
      </c>
    </row>
    <row r="304" spans="1:12" ht="18" customHeight="1">
      <c r="A304" s="40">
        <v>8</v>
      </c>
      <c r="B304" s="154" t="s">
        <v>342</v>
      </c>
      <c r="C304" s="154"/>
      <c r="D304" s="154"/>
      <c r="E304" s="154"/>
      <c r="F304" s="154"/>
      <c r="G304" s="154"/>
      <c r="H304" s="154"/>
      <c r="I304" s="154"/>
      <c r="J304" s="154"/>
      <c r="K304" s="154"/>
      <c r="L304" s="154"/>
    </row>
    <row r="305" spans="1:12" s="73" customFormat="1" ht="30.6" customHeight="1">
      <c r="B305" s="102" t="s">
        <v>288</v>
      </c>
      <c r="C305" s="72" t="s">
        <v>289</v>
      </c>
      <c r="D305" s="77">
        <v>50</v>
      </c>
      <c r="E305" s="76">
        <v>6.3</v>
      </c>
      <c r="F305" s="76">
        <v>2.85</v>
      </c>
      <c r="G305" s="76">
        <v>18.149999999999999</v>
      </c>
      <c r="H305" s="76">
        <v>123</v>
      </c>
      <c r="I305" s="76">
        <v>0.05</v>
      </c>
      <c r="J305" s="76">
        <v>10.7</v>
      </c>
      <c r="K305" s="76">
        <v>15.8</v>
      </c>
      <c r="L305" s="76">
        <v>0.71</v>
      </c>
    </row>
    <row r="306" spans="1:12" s="73" customFormat="1" ht="18" customHeight="1">
      <c r="B306" s="102" t="s">
        <v>202</v>
      </c>
      <c r="C306" s="72" t="s">
        <v>200</v>
      </c>
      <c r="D306" s="77" t="s">
        <v>279</v>
      </c>
      <c r="E306" s="76">
        <v>0.01</v>
      </c>
      <c r="F306" s="76">
        <v>0.01</v>
      </c>
      <c r="G306" s="76">
        <v>4.99</v>
      </c>
      <c r="H306" s="76">
        <v>19.95</v>
      </c>
      <c r="I306" s="76">
        <v>0.02</v>
      </c>
      <c r="J306" s="76">
        <v>7.94</v>
      </c>
      <c r="K306" s="76">
        <v>0.9</v>
      </c>
      <c r="L306" s="76">
        <v>0.18</v>
      </c>
    </row>
    <row r="307" spans="1:12" s="73" customFormat="1" ht="18" customHeight="1">
      <c r="B307" s="102"/>
      <c r="C307" s="134" t="s">
        <v>14</v>
      </c>
      <c r="D307" s="77">
        <v>205</v>
      </c>
      <c r="E307" s="102">
        <f>E305+E306</f>
        <v>6.31</v>
      </c>
      <c r="F307" s="102">
        <f t="shared" ref="F307:L307" si="64">F305+F306</f>
        <v>2.86</v>
      </c>
      <c r="G307" s="102">
        <f t="shared" si="64"/>
        <v>23.14</v>
      </c>
      <c r="H307" s="102">
        <f t="shared" si="64"/>
        <v>142.94999999999999</v>
      </c>
      <c r="I307" s="102">
        <f t="shared" si="64"/>
        <v>7.0000000000000007E-2</v>
      </c>
      <c r="J307" s="102">
        <f t="shared" si="64"/>
        <v>18.64</v>
      </c>
      <c r="K307" s="102">
        <f t="shared" si="64"/>
        <v>16.7</v>
      </c>
      <c r="L307" s="102">
        <f t="shared" si="64"/>
        <v>0.8899999999999999</v>
      </c>
    </row>
    <row r="308" spans="1:12" s="73" customFormat="1" ht="18" customHeight="1">
      <c r="B308" s="151" t="s">
        <v>343</v>
      </c>
      <c r="C308" s="152"/>
      <c r="D308" s="152"/>
      <c r="E308" s="152"/>
      <c r="F308" s="152"/>
      <c r="G308" s="152"/>
      <c r="H308" s="152"/>
      <c r="I308" s="152"/>
      <c r="J308" s="152"/>
      <c r="K308" s="152"/>
      <c r="L308" s="153"/>
    </row>
    <row r="309" spans="1:12" s="73" customFormat="1" ht="18" customHeight="1">
      <c r="B309" s="82" t="s">
        <v>252</v>
      </c>
      <c r="C309" s="72" t="s">
        <v>251</v>
      </c>
      <c r="D309" s="77">
        <v>180</v>
      </c>
      <c r="E309" s="76">
        <v>8.66</v>
      </c>
      <c r="F309" s="76">
        <v>5.55</v>
      </c>
      <c r="G309" s="76">
        <v>11.94</v>
      </c>
      <c r="H309" s="76">
        <v>151</v>
      </c>
      <c r="I309" s="76">
        <v>7.34</v>
      </c>
      <c r="J309" s="76">
        <v>41.3</v>
      </c>
      <c r="K309" s="76">
        <v>37</v>
      </c>
      <c r="L309" s="76">
        <v>1.5</v>
      </c>
    </row>
    <row r="310" spans="1:12" s="73" customFormat="1" ht="18" customHeight="1">
      <c r="B310" s="82" t="s">
        <v>218</v>
      </c>
      <c r="C310" s="72" t="s">
        <v>217</v>
      </c>
      <c r="D310" s="77">
        <v>40</v>
      </c>
      <c r="E310" s="76">
        <v>0.45</v>
      </c>
      <c r="F310" s="76">
        <v>2.0299999999999998</v>
      </c>
      <c r="G310" s="76">
        <v>6.5</v>
      </c>
      <c r="H310" s="76">
        <v>45</v>
      </c>
      <c r="I310" s="76">
        <v>0.78</v>
      </c>
      <c r="J310" s="76">
        <v>9.3000000000000007</v>
      </c>
      <c r="K310" s="76">
        <v>12.8</v>
      </c>
      <c r="L310" s="76">
        <v>0.25</v>
      </c>
    </row>
    <row r="311" spans="1:12" s="73" customFormat="1" ht="18" customHeight="1">
      <c r="B311" s="82" t="s">
        <v>254</v>
      </c>
      <c r="C311" s="72" t="s">
        <v>253</v>
      </c>
      <c r="D311" s="77">
        <v>40</v>
      </c>
      <c r="E311" s="76">
        <v>0.45</v>
      </c>
      <c r="F311" s="76">
        <v>2.4700000000000002</v>
      </c>
      <c r="G311" s="76">
        <v>1.89</v>
      </c>
      <c r="H311" s="76">
        <v>31.64</v>
      </c>
      <c r="I311" s="76">
        <v>8.17</v>
      </c>
      <c r="J311" s="76">
        <v>7.03</v>
      </c>
      <c r="K311" s="76">
        <v>7.12</v>
      </c>
      <c r="L311" s="76">
        <v>0.34</v>
      </c>
    </row>
    <row r="312" spans="1:12" s="71" customFormat="1" ht="21.6" customHeight="1">
      <c r="A312" s="71">
        <v>8</v>
      </c>
      <c r="B312" s="115"/>
      <c r="C312" s="137" t="s">
        <v>72</v>
      </c>
      <c r="D312" s="117"/>
      <c r="E312" s="136">
        <f>SUM(E310:E311)/2</f>
        <v>0.45</v>
      </c>
      <c r="F312" s="136">
        <f t="shared" ref="F312:L312" si="65">SUM(F310:F311)/2</f>
        <v>2.25</v>
      </c>
      <c r="G312" s="136">
        <f t="shared" si="65"/>
        <v>4.1950000000000003</v>
      </c>
      <c r="H312" s="136">
        <f t="shared" si="65"/>
        <v>38.32</v>
      </c>
      <c r="I312" s="136">
        <f t="shared" si="65"/>
        <v>4.4749999999999996</v>
      </c>
      <c r="J312" s="136">
        <f t="shared" si="65"/>
        <v>8.1650000000000009</v>
      </c>
      <c r="K312" s="136">
        <f t="shared" si="65"/>
        <v>9.9600000000000009</v>
      </c>
      <c r="L312" s="136">
        <f t="shared" si="65"/>
        <v>0.29500000000000004</v>
      </c>
    </row>
    <row r="313" spans="1:12" s="71" customFormat="1" ht="21.6" customHeight="1">
      <c r="B313" s="131"/>
      <c r="C313" s="137" t="s">
        <v>16</v>
      </c>
      <c r="D313" s="138">
        <v>20</v>
      </c>
      <c r="E313" s="24">
        <v>1.22</v>
      </c>
      <c r="F313" s="24">
        <v>0.22</v>
      </c>
      <c r="G313" s="24">
        <v>9.8800000000000008</v>
      </c>
      <c r="H313" s="24">
        <v>45.95</v>
      </c>
      <c r="I313" s="24">
        <v>0</v>
      </c>
      <c r="J313" s="24">
        <v>4.5999999999999996</v>
      </c>
      <c r="K313" s="24">
        <v>5</v>
      </c>
      <c r="L313" s="24">
        <v>0.62</v>
      </c>
    </row>
    <row r="314" spans="1:12" s="71" customFormat="1" ht="21.6" customHeight="1">
      <c r="B314" s="131"/>
      <c r="C314" s="137" t="s">
        <v>158</v>
      </c>
      <c r="D314" s="138">
        <v>10</v>
      </c>
      <c r="E314" s="24">
        <v>0.79</v>
      </c>
      <c r="F314" s="24">
        <v>0.1</v>
      </c>
      <c r="G314" s="24">
        <v>4.83</v>
      </c>
      <c r="H314" s="24">
        <v>23.5</v>
      </c>
      <c r="I314" s="24">
        <v>0</v>
      </c>
      <c r="J314" s="24">
        <v>2.2999999999999998</v>
      </c>
      <c r="K314" s="24">
        <v>3.3</v>
      </c>
      <c r="L314" s="24">
        <v>0.2</v>
      </c>
    </row>
    <row r="315" spans="1:12" s="71" customFormat="1" ht="21.6" customHeight="1">
      <c r="B315" s="139" t="s">
        <v>149</v>
      </c>
      <c r="C315" s="137" t="s">
        <v>135</v>
      </c>
      <c r="D315" s="138">
        <v>180</v>
      </c>
      <c r="E315" s="24">
        <v>0.4</v>
      </c>
      <c r="F315" s="24">
        <v>0.02</v>
      </c>
      <c r="G315" s="24">
        <v>19</v>
      </c>
      <c r="H315" s="24">
        <v>77.7</v>
      </c>
      <c r="I315" s="24">
        <v>0.36</v>
      </c>
      <c r="J315" s="24">
        <v>28.54</v>
      </c>
      <c r="K315" s="24">
        <v>5.4</v>
      </c>
      <c r="L315" s="24">
        <v>1.1100000000000001</v>
      </c>
    </row>
    <row r="316" spans="1:12" ht="18" customHeight="1">
      <c r="A316" s="40">
        <v>8</v>
      </c>
      <c r="B316" s="41"/>
      <c r="C316" s="41" t="s">
        <v>14</v>
      </c>
      <c r="D316" s="42">
        <v>420</v>
      </c>
      <c r="E316" s="41">
        <f>E309+E312+E313+E314+E315</f>
        <v>11.520000000000001</v>
      </c>
      <c r="F316" s="132">
        <f t="shared" ref="F316:L316" si="66">F309+F312+F313+F314+F315</f>
        <v>8.1399999999999988</v>
      </c>
      <c r="G316" s="132">
        <f t="shared" si="66"/>
        <v>49.844999999999999</v>
      </c>
      <c r="H316" s="132">
        <f t="shared" si="66"/>
        <v>336.46999999999997</v>
      </c>
      <c r="I316" s="132">
        <f t="shared" si="66"/>
        <v>12.174999999999999</v>
      </c>
      <c r="J316" s="132">
        <f t="shared" si="66"/>
        <v>84.905000000000001</v>
      </c>
      <c r="K316" s="132">
        <f t="shared" si="66"/>
        <v>60.66</v>
      </c>
      <c r="L316" s="132">
        <f t="shared" si="66"/>
        <v>3.7250000000000005</v>
      </c>
    </row>
    <row r="317" spans="1:12" ht="18" customHeight="1">
      <c r="A317" s="40">
        <v>8</v>
      </c>
      <c r="B317" s="41"/>
      <c r="C317" s="41" t="s">
        <v>24</v>
      </c>
      <c r="D317" s="42">
        <f>D316+D307+D303+D294+D291</f>
        <v>1795</v>
      </c>
      <c r="E317" s="41">
        <f>E291+E303+E316+E307</f>
        <v>45.77</v>
      </c>
      <c r="F317" s="102">
        <f t="shared" ref="F317:L317" si="67">F291+F303+F316</f>
        <v>45.129999999999995</v>
      </c>
      <c r="G317" s="102">
        <f t="shared" si="67"/>
        <v>203.20500000000001</v>
      </c>
      <c r="H317" s="102">
        <f t="shared" si="67"/>
        <v>1181.55</v>
      </c>
      <c r="I317" s="102">
        <f t="shared" si="67"/>
        <v>31.225000000000001</v>
      </c>
      <c r="J317" s="102">
        <f t="shared" si="67"/>
        <v>358.005</v>
      </c>
      <c r="K317" s="102">
        <f t="shared" si="67"/>
        <v>211.74000000000004</v>
      </c>
      <c r="L317" s="102">
        <f t="shared" si="67"/>
        <v>9.6750000000000007</v>
      </c>
    </row>
    <row r="318" spans="1:12" s="73" customFormat="1" ht="20.100000000000001" customHeight="1">
      <c r="B318" s="145"/>
      <c r="C318" s="145" t="s">
        <v>272</v>
      </c>
      <c r="D318" s="146"/>
      <c r="E318" s="145">
        <v>42</v>
      </c>
      <c r="F318" s="145">
        <v>47</v>
      </c>
      <c r="G318" s="145">
        <v>203</v>
      </c>
      <c r="H318" s="145">
        <v>1400</v>
      </c>
      <c r="I318" s="145">
        <v>45</v>
      </c>
      <c r="J318" s="145">
        <v>800</v>
      </c>
      <c r="K318" s="145">
        <v>80</v>
      </c>
      <c r="L318" s="145">
        <v>10</v>
      </c>
    </row>
    <row r="319" spans="1:12" s="73" customFormat="1" ht="20.100000000000001" customHeight="1">
      <c r="B319" s="147"/>
      <c r="C319" s="147" t="s">
        <v>273</v>
      </c>
      <c r="D319" s="148"/>
      <c r="E319" s="147">
        <f>ROUND(E317/E318*100-100,2)</f>
        <v>8.98</v>
      </c>
      <c r="F319" s="147">
        <f t="shared" ref="F319:L319" si="68">ROUND(F317/F318*100-100,2)</f>
        <v>-3.98</v>
      </c>
      <c r="G319" s="147">
        <f t="shared" si="68"/>
        <v>0.1</v>
      </c>
      <c r="H319" s="147">
        <f t="shared" si="68"/>
        <v>-15.6</v>
      </c>
      <c r="I319" s="147">
        <f t="shared" si="68"/>
        <v>-30.61</v>
      </c>
      <c r="J319" s="147">
        <f t="shared" si="68"/>
        <v>-55.25</v>
      </c>
      <c r="K319" s="147">
        <f t="shared" si="68"/>
        <v>164.68</v>
      </c>
      <c r="L319" s="147">
        <f t="shared" si="68"/>
        <v>-3.25</v>
      </c>
    </row>
    <row r="320" spans="1:12" s="35" customFormat="1" ht="20.100000000000001" customHeight="1">
      <c r="B320" s="36" t="s">
        <v>107</v>
      </c>
      <c r="C320" s="37"/>
      <c r="D320" s="46"/>
      <c r="E320" s="47"/>
      <c r="F320" s="47"/>
      <c r="G320" s="47"/>
      <c r="H320" s="47"/>
      <c r="I320" s="47"/>
      <c r="J320" s="47"/>
      <c r="K320" s="47"/>
      <c r="L320" s="47"/>
    </row>
    <row r="321" spans="1:12" s="35" customFormat="1" ht="20.100000000000001" customHeight="1">
      <c r="B321" s="36" t="s">
        <v>104</v>
      </c>
      <c r="C321" s="37"/>
      <c r="D321" s="46"/>
      <c r="E321" s="47"/>
      <c r="F321" s="47"/>
      <c r="G321" s="47"/>
      <c r="H321" s="47"/>
      <c r="I321" s="47"/>
      <c r="J321" s="47"/>
      <c r="K321" s="47"/>
      <c r="L321" s="47"/>
    </row>
    <row r="322" spans="1:12" s="35" customFormat="1">
      <c r="B322" s="36" t="s">
        <v>276</v>
      </c>
      <c r="C322" s="37"/>
      <c r="D322" s="38"/>
      <c r="E322" s="39"/>
      <c r="F322" s="39"/>
      <c r="G322" s="39"/>
      <c r="H322" s="39"/>
      <c r="I322" s="39"/>
      <c r="J322" s="39"/>
      <c r="K322" s="39"/>
      <c r="L322" s="39"/>
    </row>
    <row r="323" spans="1:12" s="35" customFormat="1" ht="33.75" customHeight="1">
      <c r="B323" s="155" t="s">
        <v>0</v>
      </c>
      <c r="C323" s="155" t="s">
        <v>1</v>
      </c>
      <c r="D323" s="156" t="s">
        <v>2</v>
      </c>
      <c r="E323" s="154" t="s">
        <v>3</v>
      </c>
      <c r="F323" s="154"/>
      <c r="G323" s="154"/>
      <c r="H323" s="154" t="s">
        <v>4</v>
      </c>
      <c r="I323" s="121"/>
      <c r="J323" s="154" t="s">
        <v>5</v>
      </c>
      <c r="K323" s="154"/>
      <c r="L323" s="154"/>
    </row>
    <row r="324" spans="1:12" s="35" customFormat="1" ht="41.25" customHeight="1">
      <c r="B324" s="155"/>
      <c r="C324" s="155"/>
      <c r="D324" s="156"/>
      <c r="E324" s="41" t="s">
        <v>6</v>
      </c>
      <c r="F324" s="41" t="s">
        <v>7</v>
      </c>
      <c r="G324" s="41" t="s">
        <v>8</v>
      </c>
      <c r="H324" s="154"/>
      <c r="I324" s="41" t="s">
        <v>9</v>
      </c>
      <c r="J324" s="41" t="s">
        <v>10</v>
      </c>
      <c r="K324" s="41" t="s">
        <v>11</v>
      </c>
      <c r="L324" s="41" t="s">
        <v>12</v>
      </c>
    </row>
    <row r="325" spans="1:12" ht="18" customHeight="1">
      <c r="A325" s="40">
        <v>9</v>
      </c>
      <c r="B325" s="154" t="s">
        <v>344</v>
      </c>
      <c r="C325" s="154"/>
      <c r="D325" s="154"/>
      <c r="E325" s="154"/>
      <c r="F325" s="154"/>
      <c r="G325" s="154"/>
      <c r="H325" s="154"/>
      <c r="I325" s="154"/>
      <c r="J325" s="154"/>
      <c r="K325" s="154"/>
      <c r="L325" s="154"/>
    </row>
    <row r="326" spans="1:12" ht="24.6" customHeight="1">
      <c r="B326" s="64" t="s">
        <v>360</v>
      </c>
      <c r="C326" s="25" t="s">
        <v>359</v>
      </c>
      <c r="D326" s="42" t="s">
        <v>279</v>
      </c>
      <c r="E326" s="43">
        <v>4.59</v>
      </c>
      <c r="F326" s="43">
        <v>5.36</v>
      </c>
      <c r="G326" s="43">
        <v>24.48</v>
      </c>
      <c r="H326" s="43">
        <v>164.83</v>
      </c>
      <c r="I326" s="43">
        <v>0.88</v>
      </c>
      <c r="J326" s="43">
        <v>100.24</v>
      </c>
      <c r="K326" s="43">
        <v>15.35</v>
      </c>
      <c r="L326" s="43">
        <v>0.36</v>
      </c>
    </row>
    <row r="327" spans="1:12" ht="18" customHeight="1">
      <c r="B327" s="41" t="s">
        <v>188</v>
      </c>
      <c r="C327" s="25" t="s">
        <v>187</v>
      </c>
      <c r="D327" s="42">
        <v>15</v>
      </c>
      <c r="E327" s="43">
        <v>3.48</v>
      </c>
      <c r="F327" s="43">
        <v>4.43</v>
      </c>
      <c r="G327" s="43">
        <v>0</v>
      </c>
      <c r="H327" s="43">
        <v>54</v>
      </c>
      <c r="I327" s="43">
        <v>0.1</v>
      </c>
      <c r="J327" s="43">
        <v>132</v>
      </c>
      <c r="K327" s="43">
        <v>5.25</v>
      </c>
      <c r="L327" s="43">
        <v>0.15</v>
      </c>
    </row>
    <row r="328" spans="1:12" ht="19.149999999999999" customHeight="1">
      <c r="B328" s="82"/>
      <c r="C328" s="25" t="s">
        <v>158</v>
      </c>
      <c r="D328" s="42">
        <v>20</v>
      </c>
      <c r="E328" s="43">
        <v>1.58</v>
      </c>
      <c r="F328" s="43">
        <v>0.2</v>
      </c>
      <c r="G328" s="43">
        <v>9.66</v>
      </c>
      <c r="H328" s="43">
        <v>47</v>
      </c>
      <c r="I328" s="43">
        <v>0</v>
      </c>
      <c r="J328" s="43">
        <v>4.5999999999999996</v>
      </c>
      <c r="K328" s="43">
        <v>6.6</v>
      </c>
      <c r="L328" s="43">
        <v>0.4</v>
      </c>
    </row>
    <row r="329" spans="1:12" ht="18" customHeight="1">
      <c r="A329" s="40">
        <v>9</v>
      </c>
      <c r="B329" s="82" t="s">
        <v>206</v>
      </c>
      <c r="C329" s="25" t="s">
        <v>205</v>
      </c>
      <c r="D329" s="42">
        <v>150</v>
      </c>
      <c r="E329" s="43">
        <v>2.65</v>
      </c>
      <c r="F329" s="43">
        <v>2.33</v>
      </c>
      <c r="G329" s="43">
        <v>9.31</v>
      </c>
      <c r="H329" s="43">
        <v>69</v>
      </c>
      <c r="I329" s="43">
        <v>1.19</v>
      </c>
      <c r="J329" s="43">
        <v>112</v>
      </c>
      <c r="K329" s="43">
        <v>13.5</v>
      </c>
      <c r="L329" s="43">
        <v>0.28000000000000003</v>
      </c>
    </row>
    <row r="330" spans="1:12" ht="18" customHeight="1">
      <c r="A330" s="40">
        <v>9</v>
      </c>
      <c r="B330" s="41"/>
      <c r="C330" s="82" t="s">
        <v>14</v>
      </c>
      <c r="D330" s="42">
        <v>340</v>
      </c>
      <c r="E330" s="57">
        <f>E326+E327+E328+E329</f>
        <v>12.3</v>
      </c>
      <c r="F330" s="57">
        <f t="shared" ref="F330:L330" si="69">F326+F327+F328+F329</f>
        <v>12.319999999999999</v>
      </c>
      <c r="G330" s="57">
        <f t="shared" si="69"/>
        <v>43.45</v>
      </c>
      <c r="H330" s="57">
        <f t="shared" si="69"/>
        <v>334.83000000000004</v>
      </c>
      <c r="I330" s="57">
        <f t="shared" si="69"/>
        <v>2.17</v>
      </c>
      <c r="J330" s="57">
        <f t="shared" si="69"/>
        <v>348.84000000000003</v>
      </c>
      <c r="K330" s="57">
        <f t="shared" si="69"/>
        <v>40.700000000000003</v>
      </c>
      <c r="L330" s="57">
        <f t="shared" si="69"/>
        <v>1.19</v>
      </c>
    </row>
    <row r="331" spans="1:12" s="73" customFormat="1" ht="18" customHeight="1">
      <c r="B331" s="151" t="s">
        <v>345</v>
      </c>
      <c r="C331" s="152"/>
      <c r="D331" s="152"/>
      <c r="E331" s="152"/>
      <c r="F331" s="152"/>
      <c r="G331" s="152"/>
      <c r="H331" s="152"/>
      <c r="I331" s="152"/>
      <c r="J331" s="152"/>
      <c r="K331" s="152"/>
      <c r="L331" s="153"/>
    </row>
    <row r="332" spans="1:12" s="73" customFormat="1" ht="18" customHeight="1">
      <c r="B332" s="82" t="s">
        <v>355</v>
      </c>
      <c r="C332" s="72" t="s">
        <v>130</v>
      </c>
      <c r="D332" s="83">
        <v>120</v>
      </c>
      <c r="E332" s="43">
        <v>0.48</v>
      </c>
      <c r="F332" s="43">
        <v>0.48</v>
      </c>
      <c r="G332" s="43">
        <v>11.76</v>
      </c>
      <c r="H332" s="43">
        <v>56</v>
      </c>
      <c r="I332" s="43">
        <v>12</v>
      </c>
      <c r="J332" s="43">
        <v>19.2</v>
      </c>
      <c r="K332" s="43">
        <v>10.8</v>
      </c>
      <c r="L332" s="43">
        <v>2.64</v>
      </c>
    </row>
    <row r="333" spans="1:12" s="73" customFormat="1" ht="18" customHeight="1">
      <c r="B333" s="82"/>
      <c r="C333" s="82" t="s">
        <v>14</v>
      </c>
      <c r="D333" s="83">
        <f>D332</f>
        <v>120</v>
      </c>
      <c r="E333" s="57">
        <f>E332</f>
        <v>0.48</v>
      </c>
      <c r="F333" s="57">
        <f t="shared" ref="F333:L333" si="70">F332</f>
        <v>0.48</v>
      </c>
      <c r="G333" s="57">
        <f t="shared" si="70"/>
        <v>11.76</v>
      </c>
      <c r="H333" s="57">
        <f t="shared" si="70"/>
        <v>56</v>
      </c>
      <c r="I333" s="57">
        <f t="shared" si="70"/>
        <v>12</v>
      </c>
      <c r="J333" s="57">
        <f t="shared" si="70"/>
        <v>19.2</v>
      </c>
      <c r="K333" s="57">
        <f t="shared" si="70"/>
        <v>10.8</v>
      </c>
      <c r="L333" s="57">
        <f t="shared" si="70"/>
        <v>2.64</v>
      </c>
    </row>
    <row r="334" spans="1:12" s="73" customFormat="1" ht="18" customHeight="1">
      <c r="A334" s="73">
        <v>9</v>
      </c>
      <c r="B334" s="151" t="s">
        <v>346</v>
      </c>
      <c r="C334" s="152"/>
      <c r="D334" s="152"/>
      <c r="E334" s="152"/>
      <c r="F334" s="152"/>
      <c r="G334" s="152"/>
      <c r="H334" s="152"/>
      <c r="I334" s="152"/>
      <c r="J334" s="152"/>
      <c r="K334" s="152"/>
      <c r="L334" s="153"/>
    </row>
    <row r="335" spans="1:12" ht="18" customHeight="1">
      <c r="A335" s="40">
        <v>9</v>
      </c>
      <c r="B335" s="41" t="s">
        <v>256</v>
      </c>
      <c r="C335" s="25" t="s">
        <v>255</v>
      </c>
      <c r="D335" s="42">
        <v>40</v>
      </c>
      <c r="E335" s="44">
        <v>0.56999999999999995</v>
      </c>
      <c r="F335" s="76">
        <v>2.4</v>
      </c>
      <c r="G335" s="76">
        <v>3.34</v>
      </c>
      <c r="H335" s="76">
        <v>37.6</v>
      </c>
      <c r="I335" s="76">
        <v>3.8</v>
      </c>
      <c r="J335" s="76">
        <v>14.06</v>
      </c>
      <c r="K335" s="76">
        <v>8.36</v>
      </c>
      <c r="L335" s="76">
        <v>0.54</v>
      </c>
    </row>
    <row r="336" spans="1:12" ht="18" customHeight="1">
      <c r="B336" s="82" t="s">
        <v>167</v>
      </c>
      <c r="C336" s="25" t="s">
        <v>166</v>
      </c>
      <c r="D336" s="77">
        <v>200</v>
      </c>
      <c r="E336" s="76">
        <v>1.74</v>
      </c>
      <c r="F336" s="76">
        <v>2.27</v>
      </c>
      <c r="G336" s="76">
        <v>11.43</v>
      </c>
      <c r="H336" s="76">
        <v>73.2</v>
      </c>
      <c r="I336" s="76">
        <v>6.6</v>
      </c>
      <c r="J336" s="76">
        <v>20.9</v>
      </c>
      <c r="K336" s="76">
        <v>22.8</v>
      </c>
      <c r="L336" s="76">
        <v>1.04</v>
      </c>
    </row>
    <row r="337" spans="1:12" ht="18" customHeight="1">
      <c r="B337" s="82" t="s">
        <v>170</v>
      </c>
      <c r="C337" s="72" t="s">
        <v>257</v>
      </c>
      <c r="D337" s="42">
        <v>60</v>
      </c>
      <c r="E337" s="76">
        <v>9.32</v>
      </c>
      <c r="F337" s="76">
        <v>7.07</v>
      </c>
      <c r="G337" s="76">
        <v>9.64</v>
      </c>
      <c r="H337" s="76">
        <v>139</v>
      </c>
      <c r="I337" s="76">
        <v>0.09</v>
      </c>
      <c r="J337" s="76">
        <v>26.1</v>
      </c>
      <c r="K337" s="76">
        <v>19.3</v>
      </c>
      <c r="L337" s="76">
        <v>0.9</v>
      </c>
    </row>
    <row r="338" spans="1:12" ht="18" customHeight="1">
      <c r="B338" s="82" t="s">
        <v>183</v>
      </c>
      <c r="C338" s="72" t="s">
        <v>181</v>
      </c>
      <c r="D338" s="83">
        <v>110</v>
      </c>
      <c r="E338" s="76">
        <v>2.27</v>
      </c>
      <c r="F338" s="76">
        <v>3.56</v>
      </c>
      <c r="G338" s="76">
        <v>12.26</v>
      </c>
      <c r="H338" s="76">
        <v>97.63</v>
      </c>
      <c r="I338" s="76">
        <v>22.31</v>
      </c>
      <c r="J338" s="76">
        <v>72.099999999999994</v>
      </c>
      <c r="K338" s="76">
        <v>26.84</v>
      </c>
      <c r="L338" s="76">
        <v>1.05</v>
      </c>
    </row>
    <row r="339" spans="1:12" ht="18" customHeight="1">
      <c r="A339" s="40">
        <v>9</v>
      </c>
      <c r="B339" s="82" t="s">
        <v>149</v>
      </c>
      <c r="C339" s="72" t="s">
        <v>135</v>
      </c>
      <c r="D339" s="83">
        <v>180</v>
      </c>
      <c r="E339" s="76">
        <v>0.4</v>
      </c>
      <c r="F339" s="76">
        <v>0.02</v>
      </c>
      <c r="G339" s="76">
        <v>19</v>
      </c>
      <c r="H339" s="76">
        <v>77.7</v>
      </c>
      <c r="I339" s="76">
        <v>0.36</v>
      </c>
      <c r="J339" s="76">
        <v>28.54</v>
      </c>
      <c r="K339" s="76">
        <v>5.4</v>
      </c>
      <c r="L339" s="76">
        <v>1.1100000000000001</v>
      </c>
    </row>
    <row r="340" spans="1:12" ht="18" customHeight="1">
      <c r="B340" s="82"/>
      <c r="C340" s="72" t="s">
        <v>16</v>
      </c>
      <c r="D340" s="83">
        <v>20</v>
      </c>
      <c r="E340" s="76">
        <v>1.22</v>
      </c>
      <c r="F340" s="76">
        <v>0.22</v>
      </c>
      <c r="G340" s="76">
        <v>9.8800000000000008</v>
      </c>
      <c r="H340" s="76">
        <v>45.95</v>
      </c>
      <c r="I340" s="76">
        <v>0</v>
      </c>
      <c r="J340" s="76">
        <v>4.5999999999999996</v>
      </c>
      <c r="K340" s="76">
        <v>5</v>
      </c>
      <c r="L340" s="76">
        <v>0.62</v>
      </c>
    </row>
    <row r="341" spans="1:12" ht="18" customHeight="1">
      <c r="B341" s="82"/>
      <c r="C341" s="72" t="s">
        <v>136</v>
      </c>
      <c r="D341" s="42">
        <v>20</v>
      </c>
      <c r="E341" s="76">
        <v>1.58</v>
      </c>
      <c r="F341" s="76">
        <v>0.2</v>
      </c>
      <c r="G341" s="76">
        <v>9.66</v>
      </c>
      <c r="H341" s="76">
        <v>47</v>
      </c>
      <c r="I341" s="76">
        <v>0</v>
      </c>
      <c r="J341" s="76">
        <v>4.5999999999999996</v>
      </c>
      <c r="K341" s="76">
        <v>6.6</v>
      </c>
      <c r="L341" s="76">
        <v>0.4</v>
      </c>
    </row>
    <row r="342" spans="1:12" ht="18" customHeight="1">
      <c r="A342" s="40">
        <v>9</v>
      </c>
      <c r="B342" s="41"/>
      <c r="C342" s="108" t="s">
        <v>14</v>
      </c>
      <c r="D342" s="42">
        <f>SUM(D335:D341)</f>
        <v>630</v>
      </c>
      <c r="E342" s="82">
        <f>E335+E336+E337+E338+E339+E340+E341</f>
        <v>17.100000000000001</v>
      </c>
      <c r="F342" s="82">
        <f t="shared" ref="F342:L342" si="71">F335+F336+F337+F338+F339+F340+F341</f>
        <v>15.74</v>
      </c>
      <c r="G342" s="82">
        <f t="shared" si="71"/>
        <v>75.209999999999994</v>
      </c>
      <c r="H342" s="82">
        <f t="shared" si="71"/>
        <v>518.07999999999993</v>
      </c>
      <c r="I342" s="82">
        <f t="shared" si="71"/>
        <v>33.159999999999997</v>
      </c>
      <c r="J342" s="82">
        <f t="shared" si="71"/>
        <v>170.89999999999998</v>
      </c>
      <c r="K342" s="82">
        <f t="shared" si="71"/>
        <v>94.3</v>
      </c>
      <c r="L342" s="82">
        <f t="shared" si="71"/>
        <v>5.660000000000001</v>
      </c>
    </row>
    <row r="343" spans="1:12" ht="18" customHeight="1">
      <c r="B343" s="154" t="s">
        <v>347</v>
      </c>
      <c r="C343" s="154"/>
      <c r="D343" s="154"/>
      <c r="E343" s="154"/>
      <c r="F343" s="154"/>
      <c r="G343" s="154"/>
      <c r="H343" s="154"/>
      <c r="I343" s="154"/>
      <c r="J343" s="154"/>
      <c r="K343" s="154"/>
      <c r="L343" s="154"/>
    </row>
    <row r="344" spans="1:12" s="73" customFormat="1" ht="18" customHeight="1">
      <c r="B344" s="102" t="s">
        <v>258</v>
      </c>
      <c r="C344" s="72" t="s">
        <v>123</v>
      </c>
      <c r="D344" s="77">
        <v>50</v>
      </c>
      <c r="E344" s="76">
        <v>3.88</v>
      </c>
      <c r="F344" s="76">
        <v>2.36</v>
      </c>
      <c r="G344" s="76">
        <v>26.15</v>
      </c>
      <c r="H344" s="76">
        <v>141</v>
      </c>
      <c r="I344" s="76">
        <v>0</v>
      </c>
      <c r="J344" s="76">
        <v>11</v>
      </c>
      <c r="K344" s="76">
        <v>14.5</v>
      </c>
      <c r="L344" s="76">
        <v>0.69</v>
      </c>
    </row>
    <row r="345" spans="1:12" s="73" customFormat="1" ht="18" customHeight="1">
      <c r="B345" s="102" t="s">
        <v>150</v>
      </c>
      <c r="C345" s="72" t="s">
        <v>139</v>
      </c>
      <c r="D345" s="77">
        <v>200</v>
      </c>
      <c r="E345" s="76">
        <v>6.09</v>
      </c>
      <c r="F345" s="76">
        <v>5.42</v>
      </c>
      <c r="G345" s="76">
        <v>10.08</v>
      </c>
      <c r="H345" s="76">
        <v>113.3</v>
      </c>
      <c r="I345" s="76">
        <v>2.73</v>
      </c>
      <c r="J345" s="76">
        <v>252</v>
      </c>
      <c r="K345" s="76">
        <v>29.44</v>
      </c>
      <c r="L345" s="76">
        <v>0.21</v>
      </c>
    </row>
    <row r="346" spans="1:12" s="73" customFormat="1" ht="18" customHeight="1">
      <c r="B346" s="102"/>
      <c r="C346" s="102" t="s">
        <v>14</v>
      </c>
      <c r="D346" s="77">
        <v>250</v>
      </c>
      <c r="E346" s="102">
        <f>E344+E345</f>
        <v>9.9699999999999989</v>
      </c>
      <c r="F346" s="102">
        <f t="shared" ref="F346:L346" si="72">F344+F345</f>
        <v>7.7799999999999994</v>
      </c>
      <c r="G346" s="102">
        <f t="shared" si="72"/>
        <v>36.229999999999997</v>
      </c>
      <c r="H346" s="102">
        <f t="shared" si="72"/>
        <v>254.3</v>
      </c>
      <c r="I346" s="102">
        <f t="shared" si="72"/>
        <v>2.73</v>
      </c>
      <c r="J346" s="102">
        <f t="shared" si="72"/>
        <v>263</v>
      </c>
      <c r="K346" s="102">
        <f t="shared" si="72"/>
        <v>43.94</v>
      </c>
      <c r="L346" s="102">
        <f t="shared" si="72"/>
        <v>0.89999999999999991</v>
      </c>
    </row>
    <row r="347" spans="1:12" s="73" customFormat="1" ht="18" customHeight="1">
      <c r="B347" s="151" t="s">
        <v>348</v>
      </c>
      <c r="C347" s="152"/>
      <c r="D347" s="152"/>
      <c r="E347" s="152"/>
      <c r="F347" s="152"/>
      <c r="G347" s="152"/>
      <c r="H347" s="152"/>
      <c r="I347" s="152"/>
      <c r="J347" s="152"/>
      <c r="K347" s="152"/>
      <c r="L347" s="153"/>
    </row>
    <row r="348" spans="1:12" ht="18" customHeight="1">
      <c r="B348" s="41" t="s">
        <v>304</v>
      </c>
      <c r="C348" s="25" t="s">
        <v>302</v>
      </c>
      <c r="D348" s="77" t="s">
        <v>303</v>
      </c>
      <c r="E348" s="76">
        <v>6.94</v>
      </c>
      <c r="F348" s="76">
        <v>3.98</v>
      </c>
      <c r="G348" s="76">
        <v>1.93</v>
      </c>
      <c r="H348" s="76">
        <v>70.900000000000006</v>
      </c>
      <c r="I348" s="76">
        <v>21.35</v>
      </c>
      <c r="J348" s="76">
        <v>22.58</v>
      </c>
      <c r="K348" s="76">
        <v>0.49</v>
      </c>
      <c r="L348" s="76">
        <v>1.58</v>
      </c>
    </row>
    <row r="349" spans="1:12" s="73" customFormat="1" ht="18" customHeight="1">
      <c r="B349" s="120" t="s">
        <v>216</v>
      </c>
      <c r="C349" s="72" t="s">
        <v>215</v>
      </c>
      <c r="D349" s="77">
        <v>110</v>
      </c>
      <c r="E349" s="76">
        <v>3.37</v>
      </c>
      <c r="F349" s="76">
        <v>5.87</v>
      </c>
      <c r="G349" s="76">
        <v>13.42</v>
      </c>
      <c r="H349" s="76">
        <v>120.27</v>
      </c>
      <c r="I349" s="76">
        <v>17</v>
      </c>
      <c r="J349" s="76">
        <v>80.22</v>
      </c>
      <c r="K349" s="76">
        <v>41.3</v>
      </c>
      <c r="L349" s="76">
        <v>0.98</v>
      </c>
    </row>
    <row r="350" spans="1:12" ht="18" customHeight="1">
      <c r="B350" s="82" t="s">
        <v>145</v>
      </c>
      <c r="C350" s="72" t="s">
        <v>131</v>
      </c>
      <c r="D350" s="42">
        <v>40</v>
      </c>
      <c r="E350" s="76">
        <v>0.56000000000000005</v>
      </c>
      <c r="F350" s="76">
        <v>2.0299999999999998</v>
      </c>
      <c r="G350" s="76">
        <v>3.6</v>
      </c>
      <c r="H350" s="76">
        <v>34.96</v>
      </c>
      <c r="I350" s="76">
        <v>12.98</v>
      </c>
      <c r="J350" s="76">
        <v>14.95</v>
      </c>
      <c r="K350" s="76">
        <v>6.06</v>
      </c>
      <c r="L350" s="76">
        <v>0.2</v>
      </c>
    </row>
    <row r="351" spans="1:12" ht="18" customHeight="1">
      <c r="B351" s="82" t="s">
        <v>191</v>
      </c>
      <c r="C351" s="72" t="s">
        <v>190</v>
      </c>
      <c r="D351" s="42">
        <v>40</v>
      </c>
      <c r="E351" s="76">
        <v>0.3</v>
      </c>
      <c r="F351" s="76">
        <v>2.44</v>
      </c>
      <c r="G351" s="76">
        <v>0.95</v>
      </c>
      <c r="H351" s="76">
        <v>26.9</v>
      </c>
      <c r="I351" s="76">
        <v>3.8</v>
      </c>
      <c r="J351" s="76">
        <v>8.74</v>
      </c>
      <c r="K351" s="76">
        <v>5.32</v>
      </c>
      <c r="L351" s="76">
        <v>0.3</v>
      </c>
    </row>
    <row r="352" spans="1:12" ht="18" customHeight="1">
      <c r="A352" s="40">
        <v>9</v>
      </c>
      <c r="B352" s="41"/>
      <c r="C352" s="72" t="s">
        <v>72</v>
      </c>
      <c r="D352" s="42"/>
      <c r="E352" s="82">
        <f>SUM(E350:E351)/2</f>
        <v>0.43000000000000005</v>
      </c>
      <c r="F352" s="102">
        <f t="shared" ref="F352:L352" si="73">SUM(F350:F351)/2</f>
        <v>2.2349999999999999</v>
      </c>
      <c r="G352" s="102">
        <f t="shared" si="73"/>
        <v>2.2749999999999999</v>
      </c>
      <c r="H352" s="102">
        <f t="shared" si="73"/>
        <v>30.93</v>
      </c>
      <c r="I352" s="102">
        <f t="shared" si="73"/>
        <v>8.39</v>
      </c>
      <c r="J352" s="102">
        <f t="shared" si="73"/>
        <v>11.844999999999999</v>
      </c>
      <c r="K352" s="102">
        <f t="shared" si="73"/>
        <v>5.6899999999999995</v>
      </c>
      <c r="L352" s="102">
        <f t="shared" si="73"/>
        <v>0.25</v>
      </c>
    </row>
    <row r="353" spans="1:12" s="73" customFormat="1" ht="18" customHeight="1">
      <c r="B353" s="134"/>
      <c r="C353" s="72" t="s">
        <v>16</v>
      </c>
      <c r="D353" s="135">
        <v>20</v>
      </c>
      <c r="E353" s="76">
        <v>1.22</v>
      </c>
      <c r="F353" s="76">
        <v>0.22</v>
      </c>
      <c r="G353" s="76">
        <v>9.8800000000000008</v>
      </c>
      <c r="H353" s="76">
        <v>45.95</v>
      </c>
      <c r="I353" s="76">
        <v>0</v>
      </c>
      <c r="J353" s="76">
        <v>4.5999999999999996</v>
      </c>
      <c r="K353" s="76">
        <v>5</v>
      </c>
      <c r="L353" s="76">
        <v>0.62</v>
      </c>
    </row>
    <row r="354" spans="1:12" s="73" customFormat="1" ht="18" customHeight="1">
      <c r="B354" s="134" t="s">
        <v>163</v>
      </c>
      <c r="C354" s="72" t="s">
        <v>162</v>
      </c>
      <c r="D354" s="135">
        <v>200</v>
      </c>
      <c r="E354" s="76">
        <v>1</v>
      </c>
      <c r="F354" s="76">
        <v>0</v>
      </c>
      <c r="G354" s="76">
        <v>20.2</v>
      </c>
      <c r="H354" s="76">
        <v>85.3</v>
      </c>
      <c r="I354" s="76">
        <v>4</v>
      </c>
      <c r="J354" s="76">
        <v>14</v>
      </c>
      <c r="K354" s="76">
        <v>8</v>
      </c>
      <c r="L354" s="76">
        <v>2.8</v>
      </c>
    </row>
    <row r="355" spans="1:12" s="73" customFormat="1" ht="18" customHeight="1">
      <c r="B355" s="134"/>
      <c r="C355" s="134" t="s">
        <v>14</v>
      </c>
      <c r="D355" s="135">
        <v>470</v>
      </c>
      <c r="E355" s="134">
        <f>E354+E353+E352+E349+E348</f>
        <v>12.96</v>
      </c>
      <c r="F355" s="150">
        <f t="shared" ref="F355:L355" si="74">F354+F353+F352+F349+F348</f>
        <v>12.305</v>
      </c>
      <c r="G355" s="150">
        <f t="shared" si="74"/>
        <v>47.704999999999998</v>
      </c>
      <c r="H355" s="150">
        <f t="shared" si="74"/>
        <v>353.35</v>
      </c>
      <c r="I355" s="150">
        <f t="shared" si="74"/>
        <v>50.74</v>
      </c>
      <c r="J355" s="150">
        <f t="shared" si="74"/>
        <v>133.245</v>
      </c>
      <c r="K355" s="150">
        <f t="shared" si="74"/>
        <v>60.48</v>
      </c>
      <c r="L355" s="150">
        <f t="shared" si="74"/>
        <v>6.23</v>
      </c>
    </row>
    <row r="356" spans="1:12" ht="18" customHeight="1">
      <c r="A356" s="40">
        <v>9</v>
      </c>
      <c r="B356" s="41"/>
      <c r="C356" s="82" t="s">
        <v>25</v>
      </c>
      <c r="D356" s="42">
        <f t="shared" ref="D356:L356" si="75">D330+D333+D342+D355+D346</f>
        <v>1810</v>
      </c>
      <c r="E356" s="82">
        <f t="shared" si="75"/>
        <v>52.81</v>
      </c>
      <c r="F356" s="134">
        <f t="shared" si="75"/>
        <v>48.625</v>
      </c>
      <c r="G356" s="134">
        <f t="shared" si="75"/>
        <v>214.35499999999999</v>
      </c>
      <c r="H356" s="134">
        <f t="shared" si="75"/>
        <v>1516.56</v>
      </c>
      <c r="I356" s="134">
        <f t="shared" si="75"/>
        <v>100.8</v>
      </c>
      <c r="J356" s="134">
        <f t="shared" si="75"/>
        <v>935.18500000000006</v>
      </c>
      <c r="K356" s="134">
        <f t="shared" si="75"/>
        <v>250.22</v>
      </c>
      <c r="L356" s="134">
        <f t="shared" si="75"/>
        <v>16.62</v>
      </c>
    </row>
    <row r="357" spans="1:12" s="73" customFormat="1" ht="20.100000000000001" customHeight="1">
      <c r="B357" s="145"/>
      <c r="C357" s="145" t="s">
        <v>272</v>
      </c>
      <c r="D357" s="146"/>
      <c r="E357" s="145">
        <v>42</v>
      </c>
      <c r="F357" s="145">
        <v>47</v>
      </c>
      <c r="G357" s="145">
        <v>203</v>
      </c>
      <c r="H357" s="145">
        <v>1400</v>
      </c>
      <c r="I357" s="145">
        <v>45</v>
      </c>
      <c r="J357" s="145">
        <v>800</v>
      </c>
      <c r="K357" s="145">
        <v>80</v>
      </c>
      <c r="L357" s="145">
        <v>10</v>
      </c>
    </row>
    <row r="358" spans="1:12" s="73" customFormat="1" ht="20.100000000000001" customHeight="1">
      <c r="B358" s="147"/>
      <c r="C358" s="147" t="s">
        <v>273</v>
      </c>
      <c r="D358" s="148"/>
      <c r="E358" s="147">
        <f>ROUND(E356/E357*100-100,2)</f>
        <v>25.74</v>
      </c>
      <c r="F358" s="147">
        <f t="shared" ref="F358:L358" si="76">ROUND(F356/F357*100-100,2)</f>
        <v>3.46</v>
      </c>
      <c r="G358" s="147">
        <f t="shared" si="76"/>
        <v>5.59</v>
      </c>
      <c r="H358" s="147">
        <f t="shared" si="76"/>
        <v>8.33</v>
      </c>
      <c r="I358" s="147">
        <f t="shared" si="76"/>
        <v>124</v>
      </c>
      <c r="J358" s="147">
        <f t="shared" si="76"/>
        <v>16.899999999999999</v>
      </c>
      <c r="K358" s="147">
        <f t="shared" si="76"/>
        <v>212.78</v>
      </c>
      <c r="L358" s="147">
        <f t="shared" si="76"/>
        <v>66.2</v>
      </c>
    </row>
    <row r="359" spans="1:12" s="35" customFormat="1" ht="20.100000000000001" customHeight="1">
      <c r="B359" s="36" t="s">
        <v>108</v>
      </c>
      <c r="C359" s="37"/>
      <c r="D359" s="46"/>
      <c r="E359" s="47"/>
      <c r="F359" s="47"/>
      <c r="G359" s="47"/>
      <c r="H359" s="47"/>
      <c r="I359" s="47"/>
      <c r="J359" s="47"/>
      <c r="K359" s="47"/>
      <c r="L359" s="47"/>
    </row>
    <row r="360" spans="1:12" s="35" customFormat="1" ht="20.100000000000001" customHeight="1">
      <c r="B360" s="36" t="s">
        <v>104</v>
      </c>
      <c r="C360" s="37"/>
      <c r="D360" s="46"/>
      <c r="E360" s="47"/>
      <c r="F360" s="47"/>
      <c r="G360" s="47"/>
      <c r="H360" s="47"/>
      <c r="I360" s="47"/>
      <c r="J360" s="47"/>
      <c r="K360" s="47"/>
      <c r="L360" s="47"/>
    </row>
    <row r="361" spans="1:12" s="35" customFormat="1" ht="15" customHeight="1">
      <c r="B361" s="36" t="s">
        <v>278</v>
      </c>
      <c r="C361" s="37"/>
      <c r="D361" s="38"/>
      <c r="E361" s="39"/>
      <c r="F361" s="39"/>
      <c r="G361" s="39"/>
      <c r="H361" s="39"/>
      <c r="I361" s="39"/>
      <c r="J361" s="39"/>
      <c r="K361" s="39"/>
      <c r="L361" s="39"/>
    </row>
    <row r="362" spans="1:12" s="35" customFormat="1" ht="20.100000000000001" hidden="1" customHeight="1">
      <c r="B362" s="45"/>
      <c r="C362" s="45"/>
      <c r="D362" s="46"/>
      <c r="E362" s="47"/>
      <c r="F362" s="47"/>
      <c r="G362" s="47"/>
      <c r="H362" s="47"/>
      <c r="I362" s="47"/>
      <c r="J362" s="47"/>
      <c r="K362" s="47"/>
      <c r="L362" s="47"/>
    </row>
    <row r="363" spans="1:12" s="35" customFormat="1" ht="37.5" customHeight="1">
      <c r="B363" s="155" t="s">
        <v>0</v>
      </c>
      <c r="C363" s="155" t="s">
        <v>1</v>
      </c>
      <c r="D363" s="156" t="s">
        <v>2</v>
      </c>
      <c r="E363" s="154" t="s">
        <v>3</v>
      </c>
      <c r="F363" s="154"/>
      <c r="G363" s="154"/>
      <c r="H363" s="154" t="s">
        <v>4</v>
      </c>
      <c r="I363" s="121"/>
      <c r="J363" s="154" t="s">
        <v>5</v>
      </c>
      <c r="K363" s="154"/>
      <c r="L363" s="154"/>
    </row>
    <row r="364" spans="1:12" s="35" customFormat="1" ht="42.75" customHeight="1">
      <c r="B364" s="155"/>
      <c r="C364" s="155"/>
      <c r="D364" s="156"/>
      <c r="E364" s="41" t="s">
        <v>6</v>
      </c>
      <c r="F364" s="41" t="s">
        <v>7</v>
      </c>
      <c r="G364" s="41" t="s">
        <v>8</v>
      </c>
      <c r="H364" s="154"/>
      <c r="I364" s="41" t="s">
        <v>9</v>
      </c>
      <c r="J364" s="41" t="s">
        <v>10</v>
      </c>
      <c r="K364" s="41" t="s">
        <v>11</v>
      </c>
      <c r="L364" s="41" t="s">
        <v>12</v>
      </c>
    </row>
    <row r="365" spans="1:12" ht="18" customHeight="1">
      <c r="A365" s="40">
        <v>10</v>
      </c>
      <c r="B365" s="154" t="s">
        <v>349</v>
      </c>
      <c r="C365" s="154"/>
      <c r="D365" s="154"/>
      <c r="E365" s="154"/>
      <c r="F365" s="154"/>
      <c r="G365" s="154"/>
      <c r="H365" s="159"/>
      <c r="I365" s="159"/>
      <c r="J365" s="159"/>
      <c r="K365" s="159"/>
      <c r="L365" s="159"/>
    </row>
    <row r="366" spans="1:12" ht="31.15" customHeight="1">
      <c r="A366" s="40">
        <v>10</v>
      </c>
      <c r="B366" s="58" t="s">
        <v>230</v>
      </c>
      <c r="C366" s="25" t="s">
        <v>228</v>
      </c>
      <c r="D366" s="77" t="s">
        <v>279</v>
      </c>
      <c r="E366" s="59">
        <v>3.83</v>
      </c>
      <c r="F366" s="59">
        <v>5.36</v>
      </c>
      <c r="G366" s="59">
        <v>25.27</v>
      </c>
      <c r="H366" s="59">
        <v>164.8</v>
      </c>
      <c r="I366" s="59">
        <v>0.88</v>
      </c>
      <c r="J366" s="59">
        <v>97.45</v>
      </c>
      <c r="K366" s="59">
        <v>22.77</v>
      </c>
      <c r="L366" s="59">
        <v>0.36</v>
      </c>
    </row>
    <row r="367" spans="1:12" ht="18" customHeight="1">
      <c r="B367" s="58" t="s">
        <v>260</v>
      </c>
      <c r="C367" s="25" t="s">
        <v>259</v>
      </c>
      <c r="D367" s="67">
        <v>80</v>
      </c>
      <c r="E367" s="59">
        <v>9.2100000000000009</v>
      </c>
      <c r="F367" s="59">
        <v>12.32</v>
      </c>
      <c r="G367" s="59">
        <v>1.33</v>
      </c>
      <c r="H367" s="59">
        <v>153.33000000000001</v>
      </c>
      <c r="I367" s="59">
        <v>1.04</v>
      </c>
      <c r="J367" s="59">
        <v>151.19999999999999</v>
      </c>
      <c r="K367" s="59">
        <v>13.46</v>
      </c>
      <c r="L367" s="59">
        <v>1.53</v>
      </c>
    </row>
    <row r="368" spans="1:12" ht="18" customHeight="1">
      <c r="B368" s="58"/>
      <c r="C368" s="25" t="s">
        <v>158</v>
      </c>
      <c r="D368" s="67">
        <v>20</v>
      </c>
      <c r="E368" s="59">
        <v>1.58</v>
      </c>
      <c r="F368" s="59">
        <v>0.2</v>
      </c>
      <c r="G368" s="59">
        <v>9.66</v>
      </c>
      <c r="H368" s="59">
        <v>47</v>
      </c>
      <c r="I368" s="59">
        <v>0</v>
      </c>
      <c r="J368" s="59">
        <v>4.5999999999999996</v>
      </c>
      <c r="K368" s="59">
        <v>6.6</v>
      </c>
      <c r="L368" s="59">
        <v>0.4</v>
      </c>
    </row>
    <row r="369" spans="1:12" ht="18" customHeight="1">
      <c r="A369" s="40">
        <v>10</v>
      </c>
      <c r="B369" s="58" t="s">
        <v>161</v>
      </c>
      <c r="C369" s="25" t="s">
        <v>159</v>
      </c>
      <c r="D369" s="42">
        <v>150</v>
      </c>
      <c r="E369" s="59">
        <v>3.15</v>
      </c>
      <c r="F369" s="59">
        <v>2.72</v>
      </c>
      <c r="G369" s="59">
        <v>12.96</v>
      </c>
      <c r="H369" s="59">
        <v>89</v>
      </c>
      <c r="I369" s="59">
        <v>1.2</v>
      </c>
      <c r="J369" s="59">
        <v>114.7</v>
      </c>
      <c r="K369" s="59">
        <v>16.7</v>
      </c>
      <c r="L369" s="59">
        <v>0.41</v>
      </c>
    </row>
    <row r="370" spans="1:12" s="73" customFormat="1" ht="18" customHeight="1">
      <c r="A370" s="73">
        <v>10</v>
      </c>
      <c r="B370" s="82"/>
      <c r="C370" s="82" t="s">
        <v>14</v>
      </c>
      <c r="D370" s="83">
        <v>405</v>
      </c>
      <c r="E370" s="82">
        <f>E366+E367+E368+E369</f>
        <v>17.77</v>
      </c>
      <c r="F370" s="82">
        <f t="shared" ref="F370:L370" si="77">F366+F367+F368+F369</f>
        <v>20.599999999999998</v>
      </c>
      <c r="G370" s="82">
        <f t="shared" si="77"/>
        <v>49.220000000000006</v>
      </c>
      <c r="H370" s="82">
        <f t="shared" si="77"/>
        <v>454.13</v>
      </c>
      <c r="I370" s="82">
        <f t="shared" si="77"/>
        <v>3.12</v>
      </c>
      <c r="J370" s="82">
        <f t="shared" si="77"/>
        <v>367.95</v>
      </c>
      <c r="K370" s="82">
        <f t="shared" si="77"/>
        <v>59.53</v>
      </c>
      <c r="L370" s="82">
        <f t="shared" si="77"/>
        <v>2.7</v>
      </c>
    </row>
    <row r="371" spans="1:12" s="73" customFormat="1" ht="18" customHeight="1">
      <c r="B371" s="151" t="s">
        <v>350</v>
      </c>
      <c r="C371" s="152"/>
      <c r="D371" s="152"/>
      <c r="E371" s="152"/>
      <c r="F371" s="152"/>
      <c r="G371" s="152"/>
      <c r="H371" s="152"/>
      <c r="I371" s="152"/>
      <c r="J371" s="152"/>
      <c r="K371" s="152"/>
      <c r="L371" s="153"/>
    </row>
    <row r="372" spans="1:12" s="73" customFormat="1" ht="18" customHeight="1">
      <c r="B372" s="58" t="s">
        <v>163</v>
      </c>
      <c r="C372" s="72" t="s">
        <v>162</v>
      </c>
      <c r="D372" s="83">
        <v>150</v>
      </c>
      <c r="E372" s="59">
        <v>0.75</v>
      </c>
      <c r="F372" s="59">
        <v>0</v>
      </c>
      <c r="G372" s="59">
        <v>15.15</v>
      </c>
      <c r="H372" s="59">
        <v>64</v>
      </c>
      <c r="I372" s="59">
        <v>3</v>
      </c>
      <c r="J372" s="59">
        <v>10.5</v>
      </c>
      <c r="K372" s="59">
        <v>6</v>
      </c>
      <c r="L372" s="59">
        <v>2.1</v>
      </c>
    </row>
    <row r="373" spans="1:12" s="73" customFormat="1" ht="18" customHeight="1">
      <c r="B373" s="58"/>
      <c r="C373" s="82" t="s">
        <v>14</v>
      </c>
      <c r="D373" s="83">
        <f>D372</f>
        <v>150</v>
      </c>
      <c r="E373" s="82">
        <f>E372</f>
        <v>0.75</v>
      </c>
      <c r="F373" s="134">
        <f t="shared" ref="F373:L373" si="78">F372</f>
        <v>0</v>
      </c>
      <c r="G373" s="134">
        <f t="shared" si="78"/>
        <v>15.15</v>
      </c>
      <c r="H373" s="134">
        <f t="shared" si="78"/>
        <v>64</v>
      </c>
      <c r="I373" s="134">
        <f t="shared" si="78"/>
        <v>3</v>
      </c>
      <c r="J373" s="134">
        <f t="shared" si="78"/>
        <v>10.5</v>
      </c>
      <c r="K373" s="134">
        <f t="shared" si="78"/>
        <v>6</v>
      </c>
      <c r="L373" s="134">
        <f t="shared" si="78"/>
        <v>2.1</v>
      </c>
    </row>
    <row r="374" spans="1:12" ht="18" customHeight="1">
      <c r="A374" s="40">
        <v>10</v>
      </c>
      <c r="B374" s="154" t="s">
        <v>351</v>
      </c>
      <c r="C374" s="154"/>
      <c r="D374" s="154"/>
      <c r="E374" s="154"/>
      <c r="F374" s="154"/>
      <c r="G374" s="154"/>
      <c r="H374" s="154"/>
      <c r="I374" s="154"/>
      <c r="J374" s="154"/>
      <c r="K374" s="154"/>
      <c r="L374" s="154"/>
    </row>
    <row r="375" spans="1:12" ht="18" customHeight="1">
      <c r="A375" s="40">
        <v>10</v>
      </c>
      <c r="B375" s="41" t="s">
        <v>218</v>
      </c>
      <c r="C375" s="25" t="s">
        <v>217</v>
      </c>
      <c r="D375" s="42">
        <v>40</v>
      </c>
      <c r="E375" s="59">
        <v>0.45</v>
      </c>
      <c r="F375" s="59">
        <v>2.0299999999999998</v>
      </c>
      <c r="G375" s="59">
        <v>6.5</v>
      </c>
      <c r="H375" s="59">
        <v>45</v>
      </c>
      <c r="I375" s="59">
        <v>0.78</v>
      </c>
      <c r="J375" s="59">
        <v>9.3000000000000007</v>
      </c>
      <c r="K375" s="59">
        <v>12.8</v>
      </c>
      <c r="L375" s="59">
        <v>0.25</v>
      </c>
    </row>
    <row r="376" spans="1:12" ht="23.25" customHeight="1">
      <c r="B376" s="82" t="s">
        <v>254</v>
      </c>
      <c r="C376" s="72" t="s">
        <v>253</v>
      </c>
      <c r="D376" s="77">
        <v>40</v>
      </c>
      <c r="E376" s="59">
        <v>0.45</v>
      </c>
      <c r="F376" s="59">
        <v>2.4700000000000002</v>
      </c>
      <c r="G376" s="59">
        <v>1.89</v>
      </c>
      <c r="H376" s="59">
        <v>31.64</v>
      </c>
      <c r="I376" s="59">
        <v>8.17</v>
      </c>
      <c r="J376" s="59">
        <v>7.03</v>
      </c>
      <c r="K376" s="59">
        <v>7.12</v>
      </c>
      <c r="L376" s="59">
        <v>0.34</v>
      </c>
    </row>
    <row r="377" spans="1:12" ht="18" customHeight="1">
      <c r="B377" s="82"/>
      <c r="C377" s="72" t="s">
        <v>72</v>
      </c>
      <c r="D377" s="42"/>
      <c r="E377" s="141">
        <f>SUM(E375:E376)/2</f>
        <v>0.45</v>
      </c>
      <c r="F377" s="141">
        <f t="shared" ref="F377:L377" si="79">SUM(F375:F376)/2</f>
        <v>2.25</v>
      </c>
      <c r="G377" s="141">
        <f t="shared" si="79"/>
        <v>4.1950000000000003</v>
      </c>
      <c r="H377" s="141">
        <f t="shared" si="79"/>
        <v>38.32</v>
      </c>
      <c r="I377" s="141">
        <f t="shared" si="79"/>
        <v>4.4749999999999996</v>
      </c>
      <c r="J377" s="141">
        <f t="shared" si="79"/>
        <v>8.1650000000000009</v>
      </c>
      <c r="K377" s="141">
        <f t="shared" si="79"/>
        <v>9.9600000000000009</v>
      </c>
      <c r="L377" s="141">
        <f t="shared" si="79"/>
        <v>0.29500000000000004</v>
      </c>
    </row>
    <row r="378" spans="1:12" ht="18" customHeight="1">
      <c r="B378" s="82" t="s">
        <v>262</v>
      </c>
      <c r="C378" s="72" t="s">
        <v>261</v>
      </c>
      <c r="D378" s="42" t="s">
        <v>282</v>
      </c>
      <c r="E378" s="59">
        <v>4.82</v>
      </c>
      <c r="F378" s="59">
        <v>2.6</v>
      </c>
      <c r="G378" s="59">
        <v>13.47</v>
      </c>
      <c r="H378" s="59">
        <v>96.54</v>
      </c>
      <c r="I378" s="59">
        <v>9.6199999999999992</v>
      </c>
      <c r="J378" s="59">
        <v>25.36</v>
      </c>
      <c r="K378" s="59">
        <v>28.92</v>
      </c>
      <c r="L378" s="59">
        <v>1.01</v>
      </c>
    </row>
    <row r="379" spans="1:12" ht="18" customHeight="1">
      <c r="A379" s="40">
        <v>10</v>
      </c>
      <c r="B379" s="134" t="s">
        <v>249</v>
      </c>
      <c r="C379" s="72" t="s">
        <v>263</v>
      </c>
      <c r="D379" s="42">
        <v>60</v>
      </c>
      <c r="E379" s="59">
        <v>9.6300000000000008</v>
      </c>
      <c r="F379" s="59">
        <v>8.68</v>
      </c>
      <c r="G379" s="59">
        <v>13.46</v>
      </c>
      <c r="H379" s="59">
        <v>212</v>
      </c>
      <c r="I379" s="59">
        <v>0.73</v>
      </c>
      <c r="J379" s="59">
        <v>34.1</v>
      </c>
      <c r="K379" s="59">
        <v>21.6</v>
      </c>
      <c r="L379" s="59">
        <v>1.3</v>
      </c>
    </row>
    <row r="380" spans="1:12" s="73" customFormat="1" ht="18" customHeight="1">
      <c r="B380" s="134" t="s">
        <v>173</v>
      </c>
      <c r="C380" s="72" t="s">
        <v>172</v>
      </c>
      <c r="D380" s="135">
        <v>100</v>
      </c>
      <c r="E380" s="59">
        <v>3.68</v>
      </c>
      <c r="F380" s="59">
        <v>3.01</v>
      </c>
      <c r="G380" s="59">
        <v>17.63</v>
      </c>
      <c r="H380" s="59">
        <v>112.3</v>
      </c>
      <c r="I380" s="59">
        <v>0</v>
      </c>
      <c r="J380" s="59">
        <v>3.24</v>
      </c>
      <c r="K380" s="59">
        <v>14.08</v>
      </c>
      <c r="L380" s="59">
        <v>0.73</v>
      </c>
    </row>
    <row r="381" spans="1:12" s="73" customFormat="1" ht="36" customHeight="1">
      <c r="B381" s="134" t="s">
        <v>195</v>
      </c>
      <c r="C381" s="72" t="s">
        <v>358</v>
      </c>
      <c r="D381" s="135">
        <v>150</v>
      </c>
      <c r="E381" s="59">
        <v>0</v>
      </c>
      <c r="F381" s="59">
        <v>0</v>
      </c>
      <c r="G381" s="59">
        <v>10.01</v>
      </c>
      <c r="H381" s="59">
        <v>37</v>
      </c>
      <c r="I381" s="59">
        <v>0</v>
      </c>
      <c r="J381" s="59">
        <v>0.21</v>
      </c>
      <c r="K381" s="59">
        <v>0</v>
      </c>
      <c r="L381" s="59">
        <v>0.03</v>
      </c>
    </row>
    <row r="382" spans="1:12" ht="18" customHeight="1">
      <c r="B382" s="82"/>
      <c r="C382" s="72" t="s">
        <v>16</v>
      </c>
      <c r="D382" s="42">
        <v>40</v>
      </c>
      <c r="E382" s="59">
        <v>2.2400000000000002</v>
      </c>
      <c r="F382" s="59">
        <v>0.44</v>
      </c>
      <c r="G382" s="59">
        <v>19.760000000000002</v>
      </c>
      <c r="H382" s="59">
        <v>91.96</v>
      </c>
      <c r="I382" s="59">
        <v>0</v>
      </c>
      <c r="J382" s="59">
        <v>9.1999999999999993</v>
      </c>
      <c r="K382" s="59">
        <v>10</v>
      </c>
      <c r="L382" s="59">
        <v>1.24</v>
      </c>
    </row>
    <row r="383" spans="1:12" ht="18" customHeight="1">
      <c r="B383" s="82"/>
      <c r="C383" s="72" t="s">
        <v>136</v>
      </c>
      <c r="D383" s="63">
        <v>20</v>
      </c>
      <c r="E383" s="59">
        <v>1.58</v>
      </c>
      <c r="F383" s="59">
        <v>0.2</v>
      </c>
      <c r="G383" s="59">
        <v>9.66</v>
      </c>
      <c r="H383" s="59">
        <v>47</v>
      </c>
      <c r="I383" s="59">
        <v>0</v>
      </c>
      <c r="J383" s="59">
        <v>4.5999999999999996</v>
      </c>
      <c r="K383" s="59">
        <v>6.6</v>
      </c>
      <c r="L383" s="59">
        <v>0.4</v>
      </c>
    </row>
    <row r="384" spans="1:12" ht="18" customHeight="1">
      <c r="A384" s="40">
        <v>10</v>
      </c>
      <c r="B384" s="41"/>
      <c r="C384" s="41" t="s">
        <v>14</v>
      </c>
      <c r="D384" s="42">
        <v>630</v>
      </c>
      <c r="E384" s="41">
        <f>E383+E382+E381+E380+E379+E378+E377</f>
        <v>22.400000000000002</v>
      </c>
      <c r="F384" s="134">
        <f t="shared" ref="F384:L384" si="80">F383+F382+F381+F380+F379+F378+F377</f>
        <v>17.18</v>
      </c>
      <c r="G384" s="134">
        <f t="shared" si="80"/>
        <v>88.185000000000002</v>
      </c>
      <c r="H384" s="134">
        <f>H383+H382+H381+H380+H379+H378+H377</f>
        <v>635.12</v>
      </c>
      <c r="I384" s="134">
        <f t="shared" si="80"/>
        <v>14.824999999999999</v>
      </c>
      <c r="J384" s="134">
        <f t="shared" si="80"/>
        <v>84.875000000000014</v>
      </c>
      <c r="K384" s="134">
        <f t="shared" si="80"/>
        <v>91.16</v>
      </c>
      <c r="L384" s="134">
        <f t="shared" si="80"/>
        <v>5.0049999999999999</v>
      </c>
    </row>
    <row r="385" spans="1:12" ht="18" customHeight="1">
      <c r="A385" s="40">
        <v>10</v>
      </c>
      <c r="B385" s="154" t="s">
        <v>356</v>
      </c>
      <c r="C385" s="154"/>
      <c r="D385" s="154"/>
      <c r="E385" s="154"/>
      <c r="F385" s="154"/>
      <c r="G385" s="154"/>
      <c r="H385" s="154"/>
      <c r="I385" s="154"/>
      <c r="J385" s="154"/>
      <c r="K385" s="154"/>
      <c r="L385" s="154"/>
    </row>
    <row r="386" spans="1:12" s="73" customFormat="1" ht="18" customHeight="1">
      <c r="B386" s="102"/>
      <c r="C386" s="72" t="s">
        <v>196</v>
      </c>
      <c r="D386" s="77">
        <v>30</v>
      </c>
      <c r="E386" s="59">
        <v>2.2200000000000002</v>
      </c>
      <c r="F386" s="59">
        <v>2.85</v>
      </c>
      <c r="G386" s="59">
        <v>21.9</v>
      </c>
      <c r="H386" s="59">
        <v>102.1</v>
      </c>
      <c r="I386" s="59">
        <v>0</v>
      </c>
      <c r="J386" s="59">
        <v>12.3</v>
      </c>
      <c r="K386" s="59">
        <v>4.5</v>
      </c>
      <c r="L386" s="59">
        <v>0.3</v>
      </c>
    </row>
    <row r="387" spans="1:12" s="73" customFormat="1" ht="18" customHeight="1">
      <c r="B387" s="102" t="s">
        <v>150</v>
      </c>
      <c r="C387" s="72" t="s">
        <v>139</v>
      </c>
      <c r="D387" s="77">
        <v>180</v>
      </c>
      <c r="E387" s="59">
        <v>5.48</v>
      </c>
      <c r="F387" s="59">
        <v>4.88</v>
      </c>
      <c r="G387" s="59">
        <v>9.07</v>
      </c>
      <c r="H387" s="59">
        <v>102</v>
      </c>
      <c r="I387" s="59">
        <v>2.46</v>
      </c>
      <c r="J387" s="59">
        <v>226.8</v>
      </c>
      <c r="K387" s="59">
        <v>26.5</v>
      </c>
      <c r="L387" s="59">
        <v>0.19</v>
      </c>
    </row>
    <row r="388" spans="1:12" s="73" customFormat="1" ht="18" customHeight="1">
      <c r="B388" s="102"/>
      <c r="C388" s="102" t="s">
        <v>14</v>
      </c>
      <c r="D388" s="77">
        <v>210</v>
      </c>
      <c r="E388" s="102">
        <f>E386+E387</f>
        <v>7.7000000000000011</v>
      </c>
      <c r="F388" s="102">
        <f t="shared" ref="F388:L388" si="81">F386+F387</f>
        <v>7.73</v>
      </c>
      <c r="G388" s="102">
        <f t="shared" si="81"/>
        <v>30.97</v>
      </c>
      <c r="H388" s="102">
        <f t="shared" si="81"/>
        <v>204.1</v>
      </c>
      <c r="I388" s="102">
        <f t="shared" si="81"/>
        <v>2.46</v>
      </c>
      <c r="J388" s="102">
        <f t="shared" si="81"/>
        <v>239.10000000000002</v>
      </c>
      <c r="K388" s="102">
        <f t="shared" si="81"/>
        <v>31</v>
      </c>
      <c r="L388" s="102">
        <f t="shared" si="81"/>
        <v>0.49</v>
      </c>
    </row>
    <row r="389" spans="1:12" s="73" customFormat="1" ht="18" customHeight="1">
      <c r="B389" s="151" t="s">
        <v>352</v>
      </c>
      <c r="C389" s="152"/>
      <c r="D389" s="152"/>
      <c r="E389" s="152"/>
      <c r="F389" s="152"/>
      <c r="G389" s="152"/>
      <c r="H389" s="152"/>
      <c r="I389" s="152"/>
      <c r="J389" s="152"/>
      <c r="K389" s="152"/>
      <c r="L389" s="153"/>
    </row>
    <row r="390" spans="1:12" s="73" customFormat="1" ht="19.5" customHeight="1">
      <c r="B390" s="82" t="s">
        <v>265</v>
      </c>
      <c r="C390" s="72" t="s">
        <v>264</v>
      </c>
      <c r="D390" s="77">
        <v>100</v>
      </c>
      <c r="E390" s="59">
        <v>10.92</v>
      </c>
      <c r="F390" s="59">
        <v>8.9700000000000006</v>
      </c>
      <c r="G390" s="59">
        <v>12.28</v>
      </c>
      <c r="H390" s="59">
        <v>173</v>
      </c>
      <c r="I390" s="59">
        <v>0.25</v>
      </c>
      <c r="J390" s="59">
        <v>129.80000000000001</v>
      </c>
      <c r="K390" s="59">
        <v>22.9</v>
      </c>
      <c r="L390" s="59">
        <v>0.97</v>
      </c>
    </row>
    <row r="391" spans="1:12" s="73" customFormat="1" ht="18" customHeight="1">
      <c r="A391" s="73">
        <v>6</v>
      </c>
      <c r="B391" s="114" t="s">
        <v>177</v>
      </c>
      <c r="C391" s="72" t="s">
        <v>176</v>
      </c>
      <c r="D391" s="110">
        <v>30</v>
      </c>
      <c r="E391" s="59">
        <v>1.1000000000000001</v>
      </c>
      <c r="F391" s="59">
        <v>1.66</v>
      </c>
      <c r="G391" s="59">
        <v>2.38</v>
      </c>
      <c r="H391" s="59">
        <v>40.08</v>
      </c>
      <c r="I391" s="59">
        <v>0.08</v>
      </c>
      <c r="J391" s="59">
        <v>0.35</v>
      </c>
      <c r="K391" s="59">
        <v>0.31</v>
      </c>
      <c r="L391" s="59">
        <v>0.02</v>
      </c>
    </row>
    <row r="392" spans="1:12" ht="19.5" customHeight="1">
      <c r="A392" s="40">
        <v>10</v>
      </c>
      <c r="B392" s="82"/>
      <c r="C392" s="72" t="s">
        <v>158</v>
      </c>
      <c r="D392" s="42">
        <v>20</v>
      </c>
      <c r="E392" s="59">
        <v>1.58</v>
      </c>
      <c r="F392" s="59">
        <v>0.2</v>
      </c>
      <c r="G392" s="59">
        <v>9.66</v>
      </c>
      <c r="H392" s="59">
        <v>47</v>
      </c>
      <c r="I392" s="59">
        <v>0</v>
      </c>
      <c r="J392" s="59">
        <v>4.5999999999999996</v>
      </c>
      <c r="K392" s="59">
        <v>6.6</v>
      </c>
      <c r="L392" s="59">
        <v>0.4</v>
      </c>
    </row>
    <row r="393" spans="1:12" ht="18.600000000000001" customHeight="1">
      <c r="A393" s="40">
        <v>10</v>
      </c>
      <c r="B393" s="41" t="s">
        <v>202</v>
      </c>
      <c r="C393" s="56" t="s">
        <v>200</v>
      </c>
      <c r="D393" s="42" t="s">
        <v>279</v>
      </c>
      <c r="E393" s="59">
        <v>0.01</v>
      </c>
      <c r="F393" s="44">
        <v>0.01</v>
      </c>
      <c r="G393" s="44">
        <v>4.99</v>
      </c>
      <c r="H393" s="44">
        <v>19.95</v>
      </c>
      <c r="I393" s="44">
        <v>0.02</v>
      </c>
      <c r="J393" s="44">
        <v>7.94</v>
      </c>
      <c r="K393" s="44">
        <v>0.9</v>
      </c>
      <c r="L393" s="44">
        <v>0.18</v>
      </c>
    </row>
    <row r="394" spans="1:12" ht="18" customHeight="1">
      <c r="A394" s="40">
        <v>10</v>
      </c>
      <c r="B394" s="41"/>
      <c r="C394" s="41" t="s">
        <v>14</v>
      </c>
      <c r="D394" s="42">
        <v>335</v>
      </c>
      <c r="E394" s="41">
        <f>E390+E391+E392+E393</f>
        <v>13.61</v>
      </c>
      <c r="F394" s="140">
        <f t="shared" ref="F394:L394" si="82">F390+F391+F392+F393</f>
        <v>10.84</v>
      </c>
      <c r="G394" s="140">
        <f t="shared" si="82"/>
        <v>29.310000000000002</v>
      </c>
      <c r="H394" s="140">
        <f t="shared" si="82"/>
        <v>280.02999999999997</v>
      </c>
      <c r="I394" s="140">
        <f t="shared" si="82"/>
        <v>0.35000000000000003</v>
      </c>
      <c r="J394" s="140">
        <f t="shared" si="82"/>
        <v>142.69</v>
      </c>
      <c r="K394" s="140">
        <f t="shared" si="82"/>
        <v>30.709999999999994</v>
      </c>
      <c r="L394" s="140">
        <f t="shared" si="82"/>
        <v>1.57</v>
      </c>
    </row>
    <row r="395" spans="1:12" ht="18" customHeight="1">
      <c r="A395" s="40">
        <v>10</v>
      </c>
      <c r="B395" s="41"/>
      <c r="C395" s="41" t="s">
        <v>26</v>
      </c>
      <c r="D395" s="42">
        <f>D394+D388+D384+D373+D370</f>
        <v>1730</v>
      </c>
      <c r="E395" s="120">
        <f>E394+E388+E384+E373+E370</f>
        <v>62.230000000000004</v>
      </c>
      <c r="F395" s="140">
        <f t="shared" ref="F395:L395" si="83">F394+F388+F384+F373+F370</f>
        <v>56.349999999999994</v>
      </c>
      <c r="G395" s="140">
        <f t="shared" si="83"/>
        <v>212.83500000000001</v>
      </c>
      <c r="H395" s="140">
        <f t="shared" si="83"/>
        <v>1637.38</v>
      </c>
      <c r="I395" s="140">
        <f t="shared" si="83"/>
        <v>23.754999999999999</v>
      </c>
      <c r="J395" s="140">
        <f t="shared" si="83"/>
        <v>845.11500000000001</v>
      </c>
      <c r="K395" s="140">
        <f t="shared" si="83"/>
        <v>218.4</v>
      </c>
      <c r="L395" s="140">
        <f t="shared" si="83"/>
        <v>11.864999999999998</v>
      </c>
    </row>
    <row r="396" spans="1:12" s="73" customFormat="1" ht="20.100000000000001" customHeight="1">
      <c r="B396" s="145"/>
      <c r="C396" s="145" t="s">
        <v>272</v>
      </c>
      <c r="D396" s="146"/>
      <c r="E396" s="145">
        <v>42</v>
      </c>
      <c r="F396" s="145">
        <v>47</v>
      </c>
      <c r="G396" s="145">
        <v>203</v>
      </c>
      <c r="H396" s="145">
        <v>1400</v>
      </c>
      <c r="I396" s="145">
        <v>45</v>
      </c>
      <c r="J396" s="145">
        <v>800</v>
      </c>
      <c r="K396" s="145">
        <v>80</v>
      </c>
      <c r="L396" s="145">
        <v>10</v>
      </c>
    </row>
    <row r="397" spans="1:12" s="73" customFormat="1" ht="20.100000000000001" customHeight="1">
      <c r="B397" s="147"/>
      <c r="C397" s="147" t="s">
        <v>273</v>
      </c>
      <c r="D397" s="148"/>
      <c r="E397" s="147">
        <f>ROUND(E395/E396*100-100,2)</f>
        <v>48.17</v>
      </c>
      <c r="F397" s="147">
        <f t="shared" ref="F397:L397" si="84">ROUND(F395/F396*100-100,2)</f>
        <v>19.89</v>
      </c>
      <c r="G397" s="147">
        <f t="shared" si="84"/>
        <v>4.84</v>
      </c>
      <c r="H397" s="147">
        <f t="shared" si="84"/>
        <v>16.96</v>
      </c>
      <c r="I397" s="147">
        <f t="shared" si="84"/>
        <v>-47.21</v>
      </c>
      <c r="J397" s="147">
        <f t="shared" si="84"/>
        <v>5.64</v>
      </c>
      <c r="K397" s="147">
        <f t="shared" si="84"/>
        <v>173</v>
      </c>
      <c r="L397" s="147">
        <f t="shared" si="84"/>
        <v>18.649999999999999</v>
      </c>
    </row>
    <row r="399" spans="1:12" ht="20.25">
      <c r="B399" s="143" t="s">
        <v>271</v>
      </c>
      <c r="C399" s="143"/>
    </row>
    <row r="401" spans="3:4">
      <c r="C401" s="40" t="s">
        <v>361</v>
      </c>
      <c r="D401" s="60">
        <f>SUM(H370+H330+H291+H250+H211+H174+H136+H95+H55+H12)/10</f>
        <v>378.77799999999996</v>
      </c>
    </row>
    <row r="402" spans="3:4">
      <c r="C402" s="40" t="s">
        <v>362</v>
      </c>
      <c r="D402" s="60">
        <f>SUM(H15+H58+H98+H139+H177+H214+H253+H294+H333+H373)/10</f>
        <v>64.929999999999993</v>
      </c>
    </row>
    <row r="403" spans="3:4">
      <c r="C403" s="40" t="s">
        <v>81</v>
      </c>
      <c r="D403" s="60">
        <f>SUM(H25+H69+H107+H148+H185+H224+H262+H303+H342+H384)/10</f>
        <v>549.28199999999993</v>
      </c>
    </row>
    <row r="404" spans="3:4">
      <c r="C404" s="40" t="s">
        <v>82</v>
      </c>
      <c r="D404" s="60">
        <f>SUM(H32+H73+H111+H152+H189+H229+H268+H307+H346+H388)/10</f>
        <v>223.93899999999999</v>
      </c>
    </row>
    <row r="405" spans="3:4">
      <c r="C405" s="40" t="s">
        <v>363</v>
      </c>
      <c r="D405" s="60">
        <f>SUM(H40+H80+H122+H159+H197+H236+H276+H316+H355)/10</f>
        <v>342.75699999999995</v>
      </c>
    </row>
  </sheetData>
  <mergeCells count="110">
    <mergeCell ref="B365:L365"/>
    <mergeCell ref="B374:L374"/>
    <mergeCell ref="B284:B285"/>
    <mergeCell ref="C284:C285"/>
    <mergeCell ref="D284:D285"/>
    <mergeCell ref="E284:G284"/>
    <mergeCell ref="H284:H285"/>
    <mergeCell ref="J284:L284"/>
    <mergeCell ref="B323:B324"/>
    <mergeCell ref="C323:C324"/>
    <mergeCell ref="D323:D324"/>
    <mergeCell ref="E323:G323"/>
    <mergeCell ref="H323:H324"/>
    <mergeCell ref="B308:L308"/>
    <mergeCell ref="B347:L347"/>
    <mergeCell ref="B371:L371"/>
    <mergeCell ref="B334:L334"/>
    <mergeCell ref="J323:L323"/>
    <mergeCell ref="B389:L389"/>
    <mergeCell ref="B230:L230"/>
    <mergeCell ref="B169:L169"/>
    <mergeCell ref="C130:C131"/>
    <mergeCell ref="D130:D131"/>
    <mergeCell ref="E130:G130"/>
    <mergeCell ref="H130:H131"/>
    <mergeCell ref="J130:L130"/>
    <mergeCell ref="B385:L385"/>
    <mergeCell ref="B325:L325"/>
    <mergeCell ref="B178:L178"/>
    <mergeCell ref="B186:L186"/>
    <mergeCell ref="B207:L207"/>
    <mergeCell ref="B215:L215"/>
    <mergeCell ref="B225:L225"/>
    <mergeCell ref="B245:L245"/>
    <mergeCell ref="B254:L254"/>
    <mergeCell ref="B263:L263"/>
    <mergeCell ref="B286:L286"/>
    <mergeCell ref="B295:L295"/>
    <mergeCell ref="B304:L304"/>
    <mergeCell ref="B205:B206"/>
    <mergeCell ref="C205:C206"/>
    <mergeCell ref="B175:L175"/>
    <mergeCell ref="J48:L48"/>
    <mergeCell ref="B87:B88"/>
    <mergeCell ref="C87:C88"/>
    <mergeCell ref="D87:D88"/>
    <mergeCell ref="B96:L96"/>
    <mergeCell ref="B137:L137"/>
    <mergeCell ref="H167:H168"/>
    <mergeCell ref="J167:L167"/>
    <mergeCell ref="B167:B168"/>
    <mergeCell ref="C167:C168"/>
    <mergeCell ref="D167:D168"/>
    <mergeCell ref="H87:H88"/>
    <mergeCell ref="J87:L87"/>
    <mergeCell ref="B48:B49"/>
    <mergeCell ref="B89:L89"/>
    <mergeCell ref="B70:L70"/>
    <mergeCell ref="B59:L59"/>
    <mergeCell ref="B50:L50"/>
    <mergeCell ref="E167:G167"/>
    <mergeCell ref="B99:L99"/>
    <mergeCell ref="B108:L108"/>
    <mergeCell ref="B132:L132"/>
    <mergeCell ref="B140:L140"/>
    <mergeCell ref="B149:L149"/>
    <mergeCell ref="J4:L4"/>
    <mergeCell ref="B6:L6"/>
    <mergeCell ref="B16:L16"/>
    <mergeCell ref="B26:L26"/>
    <mergeCell ref="B4:B5"/>
    <mergeCell ref="C4:C5"/>
    <mergeCell ref="D4:D5"/>
    <mergeCell ref="E4:G4"/>
    <mergeCell ref="H4:H5"/>
    <mergeCell ref="B13:L13"/>
    <mergeCell ref="B130:B131"/>
    <mergeCell ref="J205:L205"/>
    <mergeCell ref="B243:B244"/>
    <mergeCell ref="C243:C244"/>
    <mergeCell ref="D243:D244"/>
    <mergeCell ref="E243:G243"/>
    <mergeCell ref="B269:L269"/>
    <mergeCell ref="D205:D206"/>
    <mergeCell ref="E205:G205"/>
    <mergeCell ref="H205:H206"/>
    <mergeCell ref="B33:L33"/>
    <mergeCell ref="B74:L74"/>
    <mergeCell ref="B112:L112"/>
    <mergeCell ref="B153:L153"/>
    <mergeCell ref="B190:L190"/>
    <mergeCell ref="J363:L363"/>
    <mergeCell ref="B363:B364"/>
    <mergeCell ref="C363:C364"/>
    <mergeCell ref="D363:D364"/>
    <mergeCell ref="E363:G363"/>
    <mergeCell ref="H363:H364"/>
    <mergeCell ref="B212:L212"/>
    <mergeCell ref="B251:L251"/>
    <mergeCell ref="B292:L292"/>
    <mergeCell ref="B331:L331"/>
    <mergeCell ref="B343:L343"/>
    <mergeCell ref="C48:C49"/>
    <mergeCell ref="D48:D49"/>
    <mergeCell ref="E48:G48"/>
    <mergeCell ref="H48:H49"/>
    <mergeCell ref="B56:L56"/>
    <mergeCell ref="H243:H244"/>
    <mergeCell ref="J243:L243"/>
    <mergeCell ref="E87:G87"/>
  </mergeCells>
  <pageMargins left="0.39370078740157483" right="0.19685039370078741" top="0.39370078740157483" bottom="0.19685039370078741" header="0" footer="0"/>
  <pageSetup paperSize="9" scale="63" fitToHeight="9" orientation="landscape" r:id="rId1"/>
  <rowBreaks count="9" manualBreakCount="9">
    <brk id="43" max="16383" man="1"/>
    <brk id="83" max="16383" man="1"/>
    <brk id="125" max="16383" man="1"/>
    <brk id="162" max="16383" man="1"/>
    <brk id="200" max="16383" man="1"/>
    <brk id="239" max="16383" man="1"/>
    <brk id="279" max="16383" man="1"/>
    <brk id="319" max="16383" man="1"/>
    <brk id="3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P15"/>
  <sheetViews>
    <sheetView workbookViewId="0">
      <selection activeCell="R3" sqref="R3"/>
    </sheetView>
  </sheetViews>
  <sheetFormatPr defaultColWidth="9.140625" defaultRowHeight="15"/>
  <cols>
    <col min="1" max="1" width="9.140625" style="1"/>
    <col min="2" max="2" width="9.28515625" style="1" bestFit="1" customWidth="1"/>
    <col min="3" max="3" width="13.28515625" style="1" bestFit="1" customWidth="1"/>
    <col min="4" max="5" width="9.28515625" style="1" bestFit="1" customWidth="1"/>
    <col min="6" max="6" width="12.7109375" style="1" customWidth="1"/>
    <col min="7" max="10" width="9.28515625" style="1" bestFit="1" customWidth="1"/>
    <col min="11" max="11" width="9.140625" style="1"/>
    <col min="12" max="12" width="32.42578125" style="1" hidden="1" customWidth="1"/>
    <col min="13" max="16" width="9.28515625" style="1" hidden="1" customWidth="1"/>
    <col min="17" max="16384" width="9.140625" style="1"/>
  </cols>
  <sheetData>
    <row r="2" spans="2:16" ht="40.5" customHeight="1" thickBot="1">
      <c r="B2" s="165" t="s">
        <v>30</v>
      </c>
      <c r="C2" s="165"/>
      <c r="D2" s="165"/>
      <c r="E2" s="165"/>
      <c r="F2" s="165"/>
      <c r="G2" s="165"/>
      <c r="H2" s="165"/>
      <c r="I2" s="165"/>
      <c r="J2" s="165"/>
    </row>
    <row r="3" spans="2:16" ht="75" customHeight="1" thickBot="1">
      <c r="B3" s="18" t="s">
        <v>27</v>
      </c>
      <c r="C3" s="172" t="s">
        <v>3</v>
      </c>
      <c r="D3" s="172"/>
      <c r="E3" s="172"/>
      <c r="F3" s="172" t="s">
        <v>28</v>
      </c>
      <c r="G3" s="122" t="s">
        <v>125</v>
      </c>
      <c r="H3" s="172" t="s">
        <v>5</v>
      </c>
      <c r="I3" s="172"/>
      <c r="J3" s="172"/>
      <c r="L3" s="169" t="s">
        <v>33</v>
      </c>
      <c r="M3" s="166" t="s">
        <v>3</v>
      </c>
      <c r="N3" s="167"/>
      <c r="O3" s="168"/>
      <c r="P3" s="2" t="s">
        <v>31</v>
      </c>
    </row>
    <row r="4" spans="2:16" ht="19.5" customHeight="1" thickBot="1">
      <c r="B4" s="19"/>
      <c r="C4" s="18" t="s">
        <v>6</v>
      </c>
      <c r="D4" s="18" t="s">
        <v>7</v>
      </c>
      <c r="E4" s="18" t="s">
        <v>8</v>
      </c>
      <c r="F4" s="172"/>
      <c r="G4" s="18" t="s">
        <v>9</v>
      </c>
      <c r="H4" s="18" t="s">
        <v>10</v>
      </c>
      <c r="I4" s="18" t="s">
        <v>11</v>
      </c>
      <c r="J4" s="18" t="s">
        <v>12</v>
      </c>
      <c r="L4" s="170"/>
      <c r="M4" s="3" t="s">
        <v>6</v>
      </c>
      <c r="N4" s="3" t="s">
        <v>7</v>
      </c>
      <c r="O4" s="3" t="s">
        <v>8</v>
      </c>
      <c r="P4" s="4" t="s">
        <v>32</v>
      </c>
    </row>
    <row r="5" spans="2:16" ht="16.5" customHeight="1" thickBot="1">
      <c r="B5" s="20">
        <v>1</v>
      </c>
      <c r="C5" s="21">
        <f>'на выход'!E41</f>
        <v>70.034999999999997</v>
      </c>
      <c r="D5" s="21">
        <f>'на выход'!F41</f>
        <v>75.88000000000001</v>
      </c>
      <c r="E5" s="21">
        <f>'на выход'!G41</f>
        <v>219.98</v>
      </c>
      <c r="F5" s="21">
        <f>'на выход'!H41</f>
        <v>1847.65</v>
      </c>
      <c r="G5" s="21">
        <f>'на выход'!I41</f>
        <v>47.715000000000003</v>
      </c>
      <c r="H5" s="21">
        <f>'на выход'!J41</f>
        <v>949.70999999999992</v>
      </c>
      <c r="I5" s="21">
        <f>'на выход'!K41</f>
        <v>399.67000000000007</v>
      </c>
      <c r="J5" s="21">
        <f>'на выход'!L41</f>
        <v>14.795</v>
      </c>
      <c r="L5" s="171"/>
      <c r="M5" s="5" t="s">
        <v>34</v>
      </c>
      <c r="N5" s="5" t="s">
        <v>35</v>
      </c>
      <c r="O5" s="5" t="s">
        <v>36</v>
      </c>
      <c r="P5" s="6" t="s">
        <v>37</v>
      </c>
    </row>
    <row r="6" spans="2:16" ht="16.5" customHeight="1" thickBot="1">
      <c r="B6" s="20">
        <v>2</v>
      </c>
      <c r="C6" s="21">
        <f>'на выход'!E81</f>
        <v>51.230000000000004</v>
      </c>
      <c r="D6" s="21">
        <f>'на выход'!F81</f>
        <v>65.844999999999999</v>
      </c>
      <c r="E6" s="21">
        <f>'на выход'!G81</f>
        <v>211.15499999999997</v>
      </c>
      <c r="F6" s="21">
        <f>'на выход'!H81</f>
        <v>1639.7199999999998</v>
      </c>
      <c r="G6" s="21">
        <f>'на выход'!I81</f>
        <v>72.75</v>
      </c>
      <c r="H6" s="21">
        <f>'на выход'!J81</f>
        <v>803.7650000000001</v>
      </c>
      <c r="I6" s="21">
        <f>'на выход'!K81</f>
        <v>224.39</v>
      </c>
      <c r="J6" s="21">
        <f>'на выход'!L81</f>
        <v>15.379999999999999</v>
      </c>
      <c r="L6" s="7" t="s">
        <v>38</v>
      </c>
      <c r="M6" s="8">
        <f>C15</f>
        <v>556.79</v>
      </c>
      <c r="N6" s="8">
        <f>D15</f>
        <v>568.01</v>
      </c>
      <c r="O6" s="8">
        <f>E15</f>
        <v>2138.08</v>
      </c>
      <c r="P6" s="8">
        <f>F15</f>
        <v>15462.3</v>
      </c>
    </row>
    <row r="7" spans="2:16" ht="16.5" customHeight="1" thickBot="1">
      <c r="B7" s="20">
        <v>3</v>
      </c>
      <c r="C7" s="21">
        <f>'на выход'!E123</f>
        <v>53.790000000000006</v>
      </c>
      <c r="D7" s="21">
        <f>'на выход'!F123</f>
        <v>60.504999999999995</v>
      </c>
      <c r="E7" s="21">
        <f>'на выход'!G123</f>
        <v>206.33499999999998</v>
      </c>
      <c r="F7" s="21">
        <f>'на выход'!H123</f>
        <v>1573.93</v>
      </c>
      <c r="G7" s="21">
        <f>'на выход'!I123</f>
        <v>51.97</v>
      </c>
      <c r="H7" s="21">
        <f>'на выход'!J123</f>
        <v>595.23500000000001</v>
      </c>
      <c r="I7" s="21">
        <f>'на выход'!K123</f>
        <v>253.5</v>
      </c>
      <c r="J7" s="21">
        <f>'на выход'!L123</f>
        <v>15.715000000000003</v>
      </c>
      <c r="L7" s="7" t="s">
        <v>39</v>
      </c>
      <c r="M7" s="8">
        <f>M6/10</f>
        <v>55.678999999999995</v>
      </c>
      <c r="N7" s="8">
        <f>N6/10</f>
        <v>56.801000000000002</v>
      </c>
      <c r="O7" s="8">
        <f>O6/10</f>
        <v>213.80799999999999</v>
      </c>
      <c r="P7" s="8">
        <f>P6/10</f>
        <v>1546.23</v>
      </c>
    </row>
    <row r="8" spans="2:16" ht="16.5" customHeight="1">
      <c r="B8" s="20">
        <v>4</v>
      </c>
      <c r="C8" s="21">
        <f>'на выход'!E160</f>
        <v>59.180000000000007</v>
      </c>
      <c r="D8" s="21">
        <f>'на выход'!F160</f>
        <v>56.07</v>
      </c>
      <c r="E8" s="21">
        <f>'на выход'!G160</f>
        <v>210.39</v>
      </c>
      <c r="F8" s="21">
        <f>'на выход'!H160</f>
        <v>1574.67</v>
      </c>
      <c r="G8" s="21">
        <f>'на выход'!I160</f>
        <v>49.61</v>
      </c>
      <c r="H8" s="21">
        <f>'на выход'!J160</f>
        <v>873.68999999999994</v>
      </c>
      <c r="I8" s="21">
        <f>'на выход'!K160</f>
        <v>267.76</v>
      </c>
      <c r="J8" s="21">
        <f>'на выход'!L160</f>
        <v>14.09</v>
      </c>
    </row>
    <row r="9" spans="2:16" ht="16.5" customHeight="1">
      <c r="B9" s="20">
        <v>5</v>
      </c>
      <c r="C9" s="21">
        <f>'на выход'!E198</f>
        <v>61.730000000000004</v>
      </c>
      <c r="D9" s="21">
        <f>'на выход'!F198</f>
        <v>45.83</v>
      </c>
      <c r="E9" s="21">
        <f>'на выход'!G198</f>
        <v>274.45</v>
      </c>
      <c r="F9" s="21">
        <f>'на выход'!H198</f>
        <v>1502.44</v>
      </c>
      <c r="G9" s="21">
        <f>'на выход'!I198</f>
        <v>82.09</v>
      </c>
      <c r="H9" s="21">
        <f>'на выход'!J198</f>
        <v>727.82</v>
      </c>
      <c r="I9" s="21">
        <f>'на выход'!K198</f>
        <v>222.85000000000002</v>
      </c>
      <c r="J9" s="21">
        <f>'на выход'!L198</f>
        <v>19.079999999999998</v>
      </c>
    </row>
    <row r="10" spans="2:16" ht="16.5" customHeight="1">
      <c r="B10" s="20">
        <v>6</v>
      </c>
      <c r="C10" s="21">
        <f>'на выход'!E237</f>
        <v>56.365000000000002</v>
      </c>
      <c r="D10" s="21">
        <f>'на выход'!F237</f>
        <v>61.805000000000007</v>
      </c>
      <c r="E10" s="21">
        <f>'на выход'!G237</f>
        <v>198.33500000000001</v>
      </c>
      <c r="F10" s="21">
        <f>'на выход'!H237</f>
        <v>1589.0300000000002</v>
      </c>
      <c r="G10" s="21">
        <f>'на выход'!I237</f>
        <v>51.19</v>
      </c>
      <c r="H10" s="21">
        <f>'на выход'!J237</f>
        <v>909.06</v>
      </c>
      <c r="I10" s="21">
        <f>'на выход'!K237</f>
        <v>238.46</v>
      </c>
      <c r="J10" s="21">
        <f>'на выход'!L237</f>
        <v>12.650000000000002</v>
      </c>
    </row>
    <row r="11" spans="2:16" ht="16.5" customHeight="1">
      <c r="B11" s="20">
        <v>7</v>
      </c>
      <c r="C11" s="21">
        <f>'на выход'!E277</f>
        <v>43.650000000000006</v>
      </c>
      <c r="D11" s="21">
        <f>'на выход'!F277</f>
        <v>51.970000000000006</v>
      </c>
      <c r="E11" s="21">
        <f>'на выход'!G277</f>
        <v>187.04000000000002</v>
      </c>
      <c r="F11" s="21">
        <f>'на выход'!H277</f>
        <v>1399.37</v>
      </c>
      <c r="G11" s="21">
        <f>'на выход'!I277</f>
        <v>59.879999999999995</v>
      </c>
      <c r="H11" s="21">
        <f>'на выход'!J277</f>
        <v>441.33</v>
      </c>
      <c r="I11" s="21">
        <f>'на выход'!K277</f>
        <v>205.23000000000002</v>
      </c>
      <c r="J11" s="21">
        <f>'на выход'!L277</f>
        <v>15.370000000000001</v>
      </c>
    </row>
    <row r="12" spans="2:16" ht="16.5" customHeight="1">
      <c r="B12" s="20">
        <v>8</v>
      </c>
      <c r="C12" s="21">
        <f>'на выход'!E317</f>
        <v>45.77</v>
      </c>
      <c r="D12" s="21">
        <f>'на выход'!F317</f>
        <v>45.129999999999995</v>
      </c>
      <c r="E12" s="21">
        <f>'на выход'!G317</f>
        <v>203.20500000000001</v>
      </c>
      <c r="F12" s="21">
        <f>'на выход'!H317</f>
        <v>1181.55</v>
      </c>
      <c r="G12" s="21">
        <f>'на выход'!I317</f>
        <v>31.225000000000001</v>
      </c>
      <c r="H12" s="21">
        <f>'на выход'!J317</f>
        <v>358.005</v>
      </c>
      <c r="I12" s="21">
        <f>'на выход'!K317</f>
        <v>211.74000000000004</v>
      </c>
      <c r="J12" s="21">
        <f>'на выход'!L317</f>
        <v>9.6750000000000007</v>
      </c>
    </row>
    <row r="13" spans="2:16" ht="16.5" customHeight="1">
      <c r="B13" s="20">
        <v>9</v>
      </c>
      <c r="C13" s="21">
        <f>'на выход'!E356</f>
        <v>52.81</v>
      </c>
      <c r="D13" s="21">
        <f>'на выход'!F356</f>
        <v>48.625</v>
      </c>
      <c r="E13" s="21">
        <f>'на выход'!G356</f>
        <v>214.35499999999999</v>
      </c>
      <c r="F13" s="21">
        <f>'на выход'!H356</f>
        <v>1516.56</v>
      </c>
      <c r="G13" s="21">
        <f>'на выход'!I356</f>
        <v>100.8</v>
      </c>
      <c r="H13" s="21">
        <f>'на выход'!J356</f>
        <v>935.18500000000006</v>
      </c>
      <c r="I13" s="21">
        <f>'на выход'!K356</f>
        <v>250.22</v>
      </c>
      <c r="J13" s="21">
        <f>'на выход'!L356</f>
        <v>16.62</v>
      </c>
    </row>
    <row r="14" spans="2:16" ht="15.75">
      <c r="B14" s="20">
        <v>10</v>
      </c>
      <c r="C14" s="21">
        <f>'на выход'!E395</f>
        <v>62.230000000000004</v>
      </c>
      <c r="D14" s="21">
        <f>'на выход'!F395</f>
        <v>56.349999999999994</v>
      </c>
      <c r="E14" s="21">
        <f>'на выход'!G395</f>
        <v>212.83500000000001</v>
      </c>
      <c r="F14" s="21">
        <f>'на выход'!H395</f>
        <v>1637.38</v>
      </c>
      <c r="G14" s="21">
        <f>'на выход'!I395</f>
        <v>23.754999999999999</v>
      </c>
      <c r="H14" s="21">
        <f>'на выход'!J395</f>
        <v>845.11500000000001</v>
      </c>
      <c r="I14" s="21">
        <f>'на выход'!K395</f>
        <v>218.4</v>
      </c>
      <c r="J14" s="21">
        <f>'на выход'!L395</f>
        <v>11.864999999999998</v>
      </c>
    </row>
    <row r="15" spans="2:16" ht="31.5">
      <c r="B15" s="22" t="s">
        <v>29</v>
      </c>
      <c r="C15" s="23">
        <f>SUM(C5:C14)</f>
        <v>556.79</v>
      </c>
      <c r="D15" s="23">
        <f t="shared" ref="D15:J15" si="0">SUM(D5:D14)</f>
        <v>568.01</v>
      </c>
      <c r="E15" s="23">
        <f t="shared" si="0"/>
        <v>2138.08</v>
      </c>
      <c r="F15" s="23">
        <f t="shared" si="0"/>
        <v>15462.3</v>
      </c>
      <c r="G15" s="23">
        <f t="shared" si="0"/>
        <v>570.98500000000001</v>
      </c>
      <c r="H15" s="23">
        <f t="shared" si="0"/>
        <v>7438.9150000000009</v>
      </c>
      <c r="I15" s="23">
        <f t="shared" si="0"/>
        <v>2492.2200000000003</v>
      </c>
      <c r="J15" s="23">
        <f t="shared" si="0"/>
        <v>145.24</v>
      </c>
    </row>
  </sheetData>
  <mergeCells count="6">
    <mergeCell ref="B2:J2"/>
    <mergeCell ref="M3:O3"/>
    <mergeCell ref="L3:L5"/>
    <mergeCell ref="C3:E3"/>
    <mergeCell ref="F3:F4"/>
    <mergeCell ref="H3:J3"/>
  </mergeCells>
  <pageMargins left="0.7" right="0.7" top="0.75" bottom="0.75" header="0.3" footer="0.3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34"/>
  <sheetViews>
    <sheetView zoomScale="70" zoomScaleNormal="70" workbookViewId="0">
      <selection activeCell="I22" sqref="I22"/>
    </sheetView>
  </sheetViews>
  <sheetFormatPr defaultColWidth="9.140625" defaultRowHeight="15.75"/>
  <cols>
    <col min="1" max="2" width="9.140625" style="9"/>
    <col min="3" max="3" width="54.28515625" style="9" customWidth="1"/>
    <col min="4" max="4" width="16.28515625" style="9" customWidth="1"/>
    <col min="5" max="5" width="23.140625" style="9" customWidth="1"/>
    <col min="6" max="6" width="12.140625" style="9" customWidth="1"/>
    <col min="7" max="7" width="16.85546875" style="9" customWidth="1"/>
    <col min="8" max="8" width="9.140625" style="9"/>
    <col min="9" max="9" width="15.28515625" style="9" customWidth="1"/>
    <col min="10" max="10" width="9.140625" style="9"/>
    <col min="11" max="11" width="13" style="9" customWidth="1"/>
    <col min="12" max="16384" width="9.140625" style="9"/>
  </cols>
  <sheetData>
    <row r="2" spans="2:12" ht="18.75">
      <c r="B2" s="173" t="s">
        <v>43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2:12" ht="15" customHeight="1">
      <c r="B3" s="84"/>
      <c r="C3" s="84"/>
      <c r="D3" s="84"/>
      <c r="E3" s="84"/>
      <c r="F3" s="84"/>
      <c r="G3" s="84"/>
      <c r="H3" s="84"/>
      <c r="I3" s="84"/>
      <c r="J3" s="174" t="s">
        <v>44</v>
      </c>
      <c r="K3" s="174"/>
      <c r="L3" s="174"/>
    </row>
    <row r="4" spans="2:12">
      <c r="B4" s="84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2:12" ht="82.15" customHeight="1">
      <c r="B5" s="86" t="s">
        <v>45</v>
      </c>
      <c r="C5" s="86" t="s">
        <v>46</v>
      </c>
      <c r="D5" s="87" t="s">
        <v>47</v>
      </c>
      <c r="E5" s="87" t="s">
        <v>109</v>
      </c>
      <c r="F5" s="86" t="s">
        <v>48</v>
      </c>
      <c r="G5" s="86" t="s">
        <v>71</v>
      </c>
      <c r="H5" s="86" t="s">
        <v>49</v>
      </c>
      <c r="I5" s="86" t="s">
        <v>50</v>
      </c>
      <c r="J5" s="86" t="s">
        <v>49</v>
      </c>
      <c r="K5" s="86" t="s">
        <v>51</v>
      </c>
      <c r="L5" s="86" t="s">
        <v>49</v>
      </c>
    </row>
    <row r="6" spans="2:12" ht="27.75" customHeight="1">
      <c r="B6" s="34">
        <v>1</v>
      </c>
      <c r="C6" s="88" t="s">
        <v>16</v>
      </c>
      <c r="D6" s="33">
        <v>40</v>
      </c>
      <c r="E6" s="33">
        <f>D6</f>
        <v>40</v>
      </c>
      <c r="F6" s="33">
        <f t="shared" ref="F6:F34" si="0">E6*10</f>
        <v>400</v>
      </c>
      <c r="G6" s="33">
        <v>400</v>
      </c>
      <c r="H6" s="89">
        <f t="shared" ref="H6:H34" si="1">G6/F6*100</f>
        <v>100</v>
      </c>
      <c r="I6" s="33">
        <f>-(G6-F6)</f>
        <v>0</v>
      </c>
      <c r="J6" s="33"/>
      <c r="K6" s="33"/>
      <c r="L6" s="33"/>
    </row>
    <row r="7" spans="2:12" ht="16.5" customHeight="1">
      <c r="B7" s="34">
        <v>2</v>
      </c>
      <c r="C7" s="90" t="s">
        <v>353</v>
      </c>
      <c r="D7" s="33">
        <v>60</v>
      </c>
      <c r="E7" s="33">
        <f t="shared" ref="E7:E34" si="2">D7</f>
        <v>60</v>
      </c>
      <c r="F7" s="33">
        <f t="shared" si="0"/>
        <v>600</v>
      </c>
      <c r="G7" s="33">
        <v>599</v>
      </c>
      <c r="H7" s="89">
        <f t="shared" si="1"/>
        <v>99.833333333333329</v>
      </c>
      <c r="I7" s="33">
        <f>-(G7-F7)</f>
        <v>1</v>
      </c>
      <c r="J7" s="33">
        <v>0.17</v>
      </c>
      <c r="K7" s="33"/>
      <c r="L7" s="33"/>
    </row>
    <row r="8" spans="2:12" ht="16.5" customHeight="1">
      <c r="B8" s="34">
        <v>3</v>
      </c>
      <c r="C8" s="91" t="s">
        <v>52</v>
      </c>
      <c r="D8" s="33">
        <v>25</v>
      </c>
      <c r="E8" s="33">
        <f t="shared" si="2"/>
        <v>25</v>
      </c>
      <c r="F8" s="33">
        <f t="shared" si="0"/>
        <v>250</v>
      </c>
      <c r="G8" s="33">
        <v>243.3</v>
      </c>
      <c r="H8" s="89">
        <f t="shared" si="1"/>
        <v>97.320000000000007</v>
      </c>
      <c r="I8" s="33">
        <v>7</v>
      </c>
      <c r="J8" s="33">
        <v>2.68</v>
      </c>
      <c r="K8" s="33"/>
      <c r="L8" s="33"/>
    </row>
    <row r="9" spans="2:12" ht="16.5" customHeight="1">
      <c r="B9" s="34">
        <v>4</v>
      </c>
      <c r="C9" s="91" t="s">
        <v>53</v>
      </c>
      <c r="D9" s="33">
        <v>30</v>
      </c>
      <c r="E9" s="33">
        <f t="shared" si="2"/>
        <v>30</v>
      </c>
      <c r="F9" s="33">
        <f t="shared" si="0"/>
        <v>300</v>
      </c>
      <c r="G9" s="33">
        <v>305</v>
      </c>
      <c r="H9" s="89">
        <f t="shared" si="1"/>
        <v>101.66666666666666</v>
      </c>
      <c r="I9" s="33"/>
      <c r="J9" s="33"/>
      <c r="K9" s="33">
        <v>5</v>
      </c>
      <c r="L9" s="33">
        <v>1.67</v>
      </c>
    </row>
    <row r="10" spans="2:12" ht="16.5" customHeight="1">
      <c r="B10" s="34">
        <v>5</v>
      </c>
      <c r="C10" s="91" t="s">
        <v>54</v>
      </c>
      <c r="D10" s="33">
        <v>8</v>
      </c>
      <c r="E10" s="33">
        <f t="shared" si="2"/>
        <v>8</v>
      </c>
      <c r="F10" s="33">
        <f t="shared" si="0"/>
        <v>80</v>
      </c>
      <c r="G10" s="33">
        <v>80</v>
      </c>
      <c r="H10" s="89">
        <f t="shared" si="1"/>
        <v>100</v>
      </c>
      <c r="I10" s="33"/>
      <c r="J10" s="33"/>
      <c r="K10" s="33"/>
      <c r="L10" s="33"/>
    </row>
    <row r="11" spans="2:12" ht="16.5" customHeight="1">
      <c r="B11" s="34">
        <v>6</v>
      </c>
      <c r="C11" s="91" t="s">
        <v>55</v>
      </c>
      <c r="D11" s="33">
        <v>120</v>
      </c>
      <c r="E11" s="33">
        <f t="shared" si="2"/>
        <v>120</v>
      </c>
      <c r="F11" s="33">
        <f t="shared" si="0"/>
        <v>1200</v>
      </c>
      <c r="G11" s="33">
        <v>1120.5</v>
      </c>
      <c r="H11" s="89">
        <f t="shared" si="1"/>
        <v>93.375</v>
      </c>
      <c r="I11" s="33">
        <v>80</v>
      </c>
      <c r="J11" s="33">
        <v>6.63</v>
      </c>
      <c r="K11" s="33"/>
      <c r="L11" s="33"/>
    </row>
    <row r="12" spans="2:12" ht="16.5" customHeight="1">
      <c r="B12" s="34">
        <v>7</v>
      </c>
      <c r="C12" s="91" t="s">
        <v>56</v>
      </c>
      <c r="D12" s="33">
        <v>180</v>
      </c>
      <c r="E12" s="33">
        <f t="shared" si="2"/>
        <v>180</v>
      </c>
      <c r="F12" s="33">
        <f t="shared" si="0"/>
        <v>1800</v>
      </c>
      <c r="G12" s="33">
        <v>1812</v>
      </c>
      <c r="H12" s="89">
        <f t="shared" si="1"/>
        <v>100.66666666666666</v>
      </c>
      <c r="I12" s="33"/>
      <c r="J12" s="33"/>
      <c r="K12" s="33">
        <v>12</v>
      </c>
      <c r="L12" s="33">
        <v>0.68</v>
      </c>
    </row>
    <row r="13" spans="2:12" ht="16.5" customHeight="1">
      <c r="B13" s="34">
        <v>8</v>
      </c>
      <c r="C13" s="92" t="s">
        <v>57</v>
      </c>
      <c r="D13" s="33">
        <v>95</v>
      </c>
      <c r="E13" s="33">
        <f t="shared" si="2"/>
        <v>95</v>
      </c>
      <c r="F13" s="33">
        <f t="shared" si="0"/>
        <v>950</v>
      </c>
      <c r="G13" s="33">
        <v>954</v>
      </c>
      <c r="H13" s="89">
        <f t="shared" si="1"/>
        <v>100.42105263157895</v>
      </c>
      <c r="I13" s="33"/>
      <c r="J13" s="33"/>
      <c r="K13" s="33">
        <v>4</v>
      </c>
      <c r="L13" s="33">
        <v>0.42</v>
      </c>
    </row>
    <row r="14" spans="2:12" ht="16.5" customHeight="1">
      <c r="B14" s="34">
        <v>9</v>
      </c>
      <c r="C14" s="92" t="s">
        <v>354</v>
      </c>
      <c r="D14" s="33">
        <v>9</v>
      </c>
      <c r="E14" s="33">
        <f t="shared" si="2"/>
        <v>9</v>
      </c>
      <c r="F14" s="33">
        <f t="shared" si="0"/>
        <v>90</v>
      </c>
      <c r="G14" s="33">
        <v>90</v>
      </c>
      <c r="H14" s="89">
        <f t="shared" si="1"/>
        <v>100</v>
      </c>
      <c r="I14" s="33"/>
      <c r="J14" s="33"/>
      <c r="K14" s="33"/>
      <c r="L14" s="33"/>
    </row>
    <row r="15" spans="2:12" ht="16.5" customHeight="1">
      <c r="B15" s="34">
        <v>10</v>
      </c>
      <c r="C15" s="91" t="s">
        <v>58</v>
      </c>
      <c r="D15" s="33">
        <v>100</v>
      </c>
      <c r="E15" s="33">
        <f t="shared" si="2"/>
        <v>100</v>
      </c>
      <c r="F15" s="33">
        <f t="shared" si="0"/>
        <v>1000</v>
      </c>
      <c r="G15" s="33">
        <v>1000</v>
      </c>
      <c r="H15" s="89">
        <f t="shared" si="1"/>
        <v>100</v>
      </c>
      <c r="I15" s="33"/>
      <c r="J15" s="33"/>
      <c r="K15" s="33"/>
      <c r="L15" s="33"/>
    </row>
    <row r="16" spans="2:12" ht="16.5" customHeight="1">
      <c r="B16" s="34">
        <v>11</v>
      </c>
      <c r="C16" s="91" t="s">
        <v>59</v>
      </c>
      <c r="D16" s="33">
        <v>50</v>
      </c>
      <c r="E16" s="33">
        <f t="shared" si="2"/>
        <v>50</v>
      </c>
      <c r="F16" s="33">
        <f t="shared" si="0"/>
        <v>500</v>
      </c>
      <c r="G16" s="33">
        <v>428</v>
      </c>
      <c r="H16" s="89">
        <f t="shared" si="1"/>
        <v>85.6</v>
      </c>
      <c r="I16" s="33">
        <v>72</v>
      </c>
      <c r="J16" s="33">
        <v>14.4</v>
      </c>
      <c r="K16" s="33"/>
      <c r="L16" s="33"/>
    </row>
    <row r="17" spans="2:12" ht="16.5" customHeight="1">
      <c r="B17" s="34">
        <v>12</v>
      </c>
      <c r="C17" s="91" t="s">
        <v>60</v>
      </c>
      <c r="D17" s="33">
        <v>20</v>
      </c>
      <c r="E17" s="33">
        <f t="shared" si="2"/>
        <v>20</v>
      </c>
      <c r="F17" s="33">
        <f t="shared" si="0"/>
        <v>200</v>
      </c>
      <c r="G17" s="33">
        <v>393</v>
      </c>
      <c r="H17" s="89">
        <f t="shared" si="1"/>
        <v>196.5</v>
      </c>
      <c r="I17" s="33"/>
      <c r="J17" s="33"/>
      <c r="K17" s="33">
        <v>193</v>
      </c>
      <c r="L17" s="33">
        <v>96.5</v>
      </c>
    </row>
    <row r="18" spans="2:12" ht="16.5" customHeight="1">
      <c r="B18" s="34">
        <v>13</v>
      </c>
      <c r="C18" s="91" t="s">
        <v>126</v>
      </c>
      <c r="D18" s="33">
        <v>20</v>
      </c>
      <c r="E18" s="33">
        <f t="shared" si="2"/>
        <v>20</v>
      </c>
      <c r="F18" s="33">
        <f t="shared" si="0"/>
        <v>200</v>
      </c>
      <c r="G18" s="33">
        <v>46</v>
      </c>
      <c r="H18" s="89">
        <f t="shared" si="1"/>
        <v>23</v>
      </c>
      <c r="I18" s="33">
        <v>154</v>
      </c>
      <c r="J18" s="33">
        <v>77</v>
      </c>
      <c r="K18" s="33"/>
      <c r="L18" s="33"/>
    </row>
    <row r="19" spans="2:12" ht="16.5" customHeight="1">
      <c r="B19" s="34">
        <f>B18+1</f>
        <v>14</v>
      </c>
      <c r="C19" s="91" t="s">
        <v>61</v>
      </c>
      <c r="D19" s="33">
        <v>32</v>
      </c>
      <c r="E19" s="33">
        <f t="shared" si="2"/>
        <v>32</v>
      </c>
      <c r="F19" s="33">
        <f t="shared" si="0"/>
        <v>320</v>
      </c>
      <c r="G19" s="33">
        <v>316</v>
      </c>
      <c r="H19" s="89">
        <f t="shared" si="1"/>
        <v>98.75</v>
      </c>
      <c r="I19" s="33">
        <v>4</v>
      </c>
      <c r="J19" s="33">
        <v>1.25</v>
      </c>
      <c r="K19" s="33"/>
      <c r="L19" s="33"/>
    </row>
    <row r="20" spans="2:12" ht="16.5" customHeight="1">
      <c r="B20" s="34">
        <f t="shared" ref="B20:B34" si="3">B19+1</f>
        <v>15</v>
      </c>
      <c r="C20" s="92" t="s">
        <v>110</v>
      </c>
      <c r="D20" s="33">
        <v>390</v>
      </c>
      <c r="E20" s="33">
        <f t="shared" si="2"/>
        <v>390</v>
      </c>
      <c r="F20" s="33">
        <f t="shared" si="0"/>
        <v>3900</v>
      </c>
      <c r="G20" s="33">
        <v>3902</v>
      </c>
      <c r="H20" s="89">
        <f>G20/F20*100</f>
        <v>100.05128205128204</v>
      </c>
      <c r="I20" s="33"/>
      <c r="J20" s="33"/>
      <c r="K20" s="33"/>
      <c r="L20" s="33"/>
    </row>
    <row r="21" spans="2:12" ht="16.5" customHeight="1">
      <c r="B21" s="34">
        <f t="shared" si="3"/>
        <v>16</v>
      </c>
      <c r="C21" s="91" t="s">
        <v>111</v>
      </c>
      <c r="D21" s="33">
        <v>30</v>
      </c>
      <c r="E21" s="33">
        <f t="shared" si="2"/>
        <v>30</v>
      </c>
      <c r="F21" s="33">
        <f t="shared" si="0"/>
        <v>300</v>
      </c>
      <c r="G21" s="33">
        <v>301</v>
      </c>
      <c r="H21" s="89">
        <f t="shared" si="1"/>
        <v>100.33333333333334</v>
      </c>
      <c r="I21" s="33"/>
      <c r="J21" s="33"/>
      <c r="K21" s="33"/>
      <c r="L21" s="33"/>
    </row>
    <row r="22" spans="2:12" ht="16.5" customHeight="1">
      <c r="B22" s="34">
        <f t="shared" si="3"/>
        <v>17</v>
      </c>
      <c r="C22" s="91" t="s">
        <v>62</v>
      </c>
      <c r="D22" s="33">
        <v>4</v>
      </c>
      <c r="E22" s="33">
        <f t="shared" si="2"/>
        <v>4</v>
      </c>
      <c r="F22" s="33">
        <f t="shared" si="0"/>
        <v>40</v>
      </c>
      <c r="G22" s="33">
        <v>74.599999999999994</v>
      </c>
      <c r="H22" s="89">
        <f t="shared" si="1"/>
        <v>186.49999999999997</v>
      </c>
      <c r="I22" s="33"/>
      <c r="J22" s="33"/>
      <c r="K22" s="33">
        <v>35</v>
      </c>
      <c r="L22" s="33">
        <v>86.5</v>
      </c>
    </row>
    <row r="23" spans="2:12" ht="16.5" customHeight="1">
      <c r="B23" s="34">
        <f t="shared" si="3"/>
        <v>18</v>
      </c>
      <c r="C23" s="91" t="s">
        <v>112</v>
      </c>
      <c r="D23" s="33">
        <v>9</v>
      </c>
      <c r="E23" s="33">
        <f t="shared" si="2"/>
        <v>9</v>
      </c>
      <c r="F23" s="33">
        <f t="shared" si="0"/>
        <v>90</v>
      </c>
      <c r="G23" s="33">
        <v>92.25</v>
      </c>
      <c r="H23" s="89">
        <f t="shared" si="1"/>
        <v>102.49999999999999</v>
      </c>
      <c r="I23" s="33"/>
      <c r="J23" s="33"/>
      <c r="K23" s="33">
        <v>2.25</v>
      </c>
      <c r="L23" s="33">
        <v>2.5</v>
      </c>
    </row>
    <row r="24" spans="2:12" ht="16.5" customHeight="1">
      <c r="B24" s="34">
        <f t="shared" si="3"/>
        <v>19</v>
      </c>
      <c r="C24" s="91" t="s">
        <v>63</v>
      </c>
      <c r="D24" s="33">
        <v>18</v>
      </c>
      <c r="E24" s="33">
        <f t="shared" si="2"/>
        <v>18</v>
      </c>
      <c r="F24" s="33">
        <f t="shared" si="0"/>
        <v>180</v>
      </c>
      <c r="G24" s="33">
        <v>186</v>
      </c>
      <c r="H24" s="89">
        <f t="shared" si="1"/>
        <v>103.33333333333334</v>
      </c>
      <c r="I24" s="33"/>
      <c r="J24" s="33"/>
      <c r="K24" s="33">
        <v>7</v>
      </c>
      <c r="L24" s="33">
        <v>3.83</v>
      </c>
    </row>
    <row r="25" spans="2:12" ht="16.5" customHeight="1">
      <c r="B25" s="34">
        <f t="shared" si="3"/>
        <v>20</v>
      </c>
      <c r="C25" s="91" t="s">
        <v>64</v>
      </c>
      <c r="D25" s="33">
        <v>9</v>
      </c>
      <c r="E25" s="33">
        <f t="shared" si="2"/>
        <v>9</v>
      </c>
      <c r="F25" s="33">
        <f t="shared" si="0"/>
        <v>90</v>
      </c>
      <c r="G25" s="33">
        <v>87.9</v>
      </c>
      <c r="H25" s="89">
        <f t="shared" si="1"/>
        <v>97.666666666666671</v>
      </c>
      <c r="I25" s="33">
        <v>2</v>
      </c>
      <c r="J25" s="33">
        <v>2.23</v>
      </c>
      <c r="K25" s="33"/>
      <c r="L25" s="33"/>
    </row>
    <row r="26" spans="2:12" ht="16.5" customHeight="1">
      <c r="B26" s="34">
        <f t="shared" si="3"/>
        <v>21</v>
      </c>
      <c r="C26" s="91" t="s">
        <v>65</v>
      </c>
      <c r="D26" s="33">
        <v>1</v>
      </c>
      <c r="E26" s="33">
        <f t="shared" si="2"/>
        <v>1</v>
      </c>
      <c r="F26" s="33">
        <f t="shared" si="0"/>
        <v>10</v>
      </c>
      <c r="G26" s="33">
        <v>8</v>
      </c>
      <c r="H26" s="89">
        <f t="shared" si="1"/>
        <v>80</v>
      </c>
      <c r="I26" s="33">
        <v>2</v>
      </c>
      <c r="J26" s="33">
        <v>19</v>
      </c>
      <c r="K26" s="33"/>
      <c r="L26" s="33"/>
    </row>
    <row r="27" spans="2:12" ht="16.5" customHeight="1">
      <c r="B27" s="34">
        <f t="shared" si="3"/>
        <v>22</v>
      </c>
      <c r="C27" s="91" t="s">
        <v>66</v>
      </c>
      <c r="D27" s="33">
        <v>25</v>
      </c>
      <c r="E27" s="33">
        <f t="shared" si="2"/>
        <v>25</v>
      </c>
      <c r="F27" s="33">
        <f t="shared" si="0"/>
        <v>250</v>
      </c>
      <c r="G27" s="33">
        <v>267</v>
      </c>
      <c r="H27" s="89">
        <f t="shared" si="1"/>
        <v>106.80000000000001</v>
      </c>
      <c r="I27" s="33"/>
      <c r="J27" s="33"/>
      <c r="K27" s="33">
        <v>17</v>
      </c>
      <c r="L27" s="33">
        <v>7</v>
      </c>
    </row>
    <row r="28" spans="2:12" ht="16.5" customHeight="1">
      <c r="B28" s="34">
        <f t="shared" si="3"/>
        <v>23</v>
      </c>
      <c r="C28" s="91" t="s">
        <v>67</v>
      </c>
      <c r="D28" s="33">
        <v>12</v>
      </c>
      <c r="E28" s="33">
        <f t="shared" si="2"/>
        <v>12</v>
      </c>
      <c r="F28" s="33">
        <f t="shared" si="0"/>
        <v>120</v>
      </c>
      <c r="G28" s="33">
        <v>120</v>
      </c>
      <c r="H28" s="89">
        <f t="shared" si="1"/>
        <v>100</v>
      </c>
      <c r="I28" s="33"/>
      <c r="J28" s="33"/>
      <c r="K28" s="33"/>
      <c r="L28" s="33"/>
    </row>
    <row r="29" spans="2:12" ht="16.5" customHeight="1">
      <c r="B29" s="34">
        <f t="shared" si="3"/>
        <v>24</v>
      </c>
      <c r="C29" s="91" t="s">
        <v>113</v>
      </c>
      <c r="D29" s="33">
        <v>2</v>
      </c>
      <c r="E29" s="33">
        <f t="shared" si="2"/>
        <v>2</v>
      </c>
      <c r="F29" s="33">
        <f t="shared" si="0"/>
        <v>20</v>
      </c>
      <c r="G29" s="33">
        <v>20</v>
      </c>
      <c r="H29" s="89">
        <f t="shared" si="1"/>
        <v>100</v>
      </c>
      <c r="I29" s="33"/>
      <c r="J29" s="33"/>
      <c r="K29" s="33"/>
      <c r="L29" s="33"/>
    </row>
    <row r="30" spans="2:12" ht="16.5" customHeight="1">
      <c r="B30" s="34">
        <f t="shared" si="3"/>
        <v>25</v>
      </c>
      <c r="C30" s="91" t="s">
        <v>114</v>
      </c>
      <c r="D30" s="33">
        <v>0.5</v>
      </c>
      <c r="E30" s="33">
        <f t="shared" si="2"/>
        <v>0.5</v>
      </c>
      <c r="F30" s="33">
        <f t="shared" si="0"/>
        <v>5</v>
      </c>
      <c r="G30" s="33">
        <v>5</v>
      </c>
      <c r="H30" s="89">
        <f t="shared" si="1"/>
        <v>100</v>
      </c>
      <c r="I30" s="33"/>
      <c r="J30" s="33"/>
      <c r="K30" s="33"/>
      <c r="L30" s="33"/>
    </row>
    <row r="31" spans="2:12" ht="16.5" customHeight="1">
      <c r="B31" s="34">
        <f t="shared" si="3"/>
        <v>26</v>
      </c>
      <c r="C31" s="91" t="s">
        <v>127</v>
      </c>
      <c r="D31" s="33">
        <v>1</v>
      </c>
      <c r="E31" s="33">
        <f t="shared" si="2"/>
        <v>1</v>
      </c>
      <c r="F31" s="33">
        <f t="shared" si="0"/>
        <v>10</v>
      </c>
      <c r="G31" s="33">
        <v>10</v>
      </c>
      <c r="H31" s="89">
        <f t="shared" si="1"/>
        <v>100</v>
      </c>
      <c r="I31" s="33"/>
      <c r="J31" s="33"/>
      <c r="K31" s="33"/>
      <c r="L31" s="33"/>
    </row>
    <row r="32" spans="2:12" ht="16.5" customHeight="1">
      <c r="B32" s="34">
        <f t="shared" si="3"/>
        <v>27</v>
      </c>
      <c r="C32" s="91" t="s">
        <v>68</v>
      </c>
      <c r="D32" s="33">
        <v>0.5</v>
      </c>
      <c r="E32" s="33">
        <f t="shared" si="2"/>
        <v>0.5</v>
      </c>
      <c r="F32" s="33">
        <f t="shared" si="0"/>
        <v>5</v>
      </c>
      <c r="G32" s="33">
        <v>6</v>
      </c>
      <c r="H32" s="89">
        <f t="shared" si="1"/>
        <v>120</v>
      </c>
      <c r="I32" s="33"/>
      <c r="J32" s="33"/>
      <c r="K32" s="33">
        <v>1</v>
      </c>
      <c r="L32" s="33">
        <v>22</v>
      </c>
    </row>
    <row r="33" spans="2:12">
      <c r="B33" s="34">
        <f t="shared" si="3"/>
        <v>28</v>
      </c>
      <c r="C33" s="91" t="s">
        <v>69</v>
      </c>
      <c r="D33" s="33">
        <v>0.4</v>
      </c>
      <c r="E33" s="33">
        <f t="shared" si="2"/>
        <v>0.4</v>
      </c>
      <c r="F33" s="33">
        <f t="shared" si="0"/>
        <v>4</v>
      </c>
      <c r="G33" s="33">
        <v>3.23</v>
      </c>
      <c r="H33" s="89">
        <f t="shared" si="1"/>
        <v>80.75</v>
      </c>
      <c r="I33" s="33">
        <v>1</v>
      </c>
      <c r="J33" s="33">
        <v>19.25</v>
      </c>
      <c r="K33" s="33"/>
      <c r="L33" s="33"/>
    </row>
    <row r="34" spans="2:12">
      <c r="B34" s="34">
        <f t="shared" si="3"/>
        <v>29</v>
      </c>
      <c r="C34" s="91" t="s">
        <v>70</v>
      </c>
      <c r="D34" s="33">
        <v>3</v>
      </c>
      <c r="E34" s="33">
        <f t="shared" si="2"/>
        <v>3</v>
      </c>
      <c r="F34" s="33">
        <f t="shared" si="0"/>
        <v>30</v>
      </c>
      <c r="G34" s="33">
        <v>30</v>
      </c>
      <c r="H34" s="89">
        <f t="shared" si="1"/>
        <v>100</v>
      </c>
      <c r="I34" s="33"/>
      <c r="J34" s="33"/>
      <c r="K34" s="33"/>
      <c r="L34" s="33"/>
    </row>
  </sheetData>
  <mergeCells count="2">
    <mergeCell ref="B2:L2"/>
    <mergeCell ref="J3:L3"/>
  </mergeCells>
  <pageMargins left="0.7" right="0.7" top="0.75" bottom="0.75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G16"/>
  <sheetViews>
    <sheetView workbookViewId="0">
      <selection activeCell="C9" sqref="C9"/>
    </sheetView>
  </sheetViews>
  <sheetFormatPr defaultColWidth="9.140625" defaultRowHeight="15"/>
  <cols>
    <col min="1" max="1" width="9.140625" style="70"/>
    <col min="2" max="2" width="48.85546875" style="70" customWidth="1"/>
    <col min="3" max="3" width="12.7109375" style="70" customWidth="1"/>
    <col min="4" max="4" width="13.28515625" style="70" customWidth="1"/>
    <col min="5" max="5" width="12.5703125" style="70" customWidth="1"/>
    <col min="6" max="7" width="14" style="70" customWidth="1"/>
    <col min="8" max="16384" width="9.140625" style="70"/>
  </cols>
  <sheetData>
    <row r="2" spans="2:7">
      <c r="B2" s="175" t="s">
        <v>115</v>
      </c>
      <c r="C2" s="175"/>
      <c r="D2" s="175"/>
      <c r="E2" s="175"/>
      <c r="F2" s="175"/>
      <c r="G2" s="175"/>
    </row>
    <row r="3" spans="2:7">
      <c r="B3" s="176"/>
      <c r="C3" s="176"/>
      <c r="D3" s="176"/>
      <c r="E3" s="176"/>
      <c r="F3" s="176"/>
      <c r="G3" s="176"/>
    </row>
    <row r="4" spans="2:7" ht="37.5">
      <c r="B4" s="93" t="s">
        <v>116</v>
      </c>
      <c r="C4" s="93" t="s">
        <v>13</v>
      </c>
      <c r="D4" s="93" t="s">
        <v>117</v>
      </c>
      <c r="E4" s="93" t="s">
        <v>15</v>
      </c>
      <c r="F4" s="93" t="s">
        <v>121</v>
      </c>
      <c r="G4" s="105" t="s">
        <v>120</v>
      </c>
    </row>
    <row r="5" spans="2:7" ht="18.75">
      <c r="B5" s="94">
        <v>1</v>
      </c>
      <c r="C5" s="95">
        <f>'на выход'!D12</f>
        <v>420</v>
      </c>
      <c r="D5" s="95">
        <f>'на выход'!D15</f>
        <v>200</v>
      </c>
      <c r="E5" s="95">
        <f>'на выход'!D25</f>
        <v>622</v>
      </c>
      <c r="F5" s="95">
        <f>'на выход'!D32</f>
        <v>330</v>
      </c>
      <c r="G5" s="95">
        <f>'на выход'!D40</f>
        <v>465</v>
      </c>
    </row>
    <row r="6" spans="2:7" ht="18.75">
      <c r="B6" s="94">
        <v>2</v>
      </c>
      <c r="C6" s="95">
        <f>'на выход'!D55</f>
        <v>340</v>
      </c>
      <c r="D6" s="95">
        <f>'на выход'!D58</f>
        <v>150</v>
      </c>
      <c r="E6" s="95">
        <f>'на выход'!D69</f>
        <v>690</v>
      </c>
      <c r="F6" s="95">
        <f>'на выход'!D73</f>
        <v>230</v>
      </c>
      <c r="G6" s="95">
        <f>'на выход'!D80</f>
        <v>360</v>
      </c>
    </row>
    <row r="7" spans="2:7" ht="18.75">
      <c r="B7" s="94">
        <v>3</v>
      </c>
      <c r="C7" s="95">
        <f>'на выход'!D95</f>
        <v>390</v>
      </c>
      <c r="D7" s="95">
        <f>'на выход'!D98</f>
        <v>150</v>
      </c>
      <c r="E7" s="95">
        <f>'на выход'!D107</f>
        <v>630</v>
      </c>
      <c r="F7" s="95">
        <f>'на выход'!D111</f>
        <v>205</v>
      </c>
      <c r="G7" s="95">
        <f>'на выход'!D122</f>
        <v>525</v>
      </c>
    </row>
    <row r="8" spans="2:7" ht="18.75">
      <c r="B8" s="94">
        <v>4</v>
      </c>
      <c r="C8" s="95">
        <f>'на выход'!D136</f>
        <v>345</v>
      </c>
      <c r="D8" s="95">
        <f>'на выход'!D139</f>
        <v>120</v>
      </c>
      <c r="E8" s="95">
        <f>'на выход'!D148</f>
        <v>610</v>
      </c>
      <c r="F8" s="95">
        <f>'на выход'!D152</f>
        <v>230</v>
      </c>
      <c r="G8" s="95">
        <f>'на выход'!D159</f>
        <v>425</v>
      </c>
    </row>
    <row r="9" spans="2:7" ht="18.75">
      <c r="B9" s="94">
        <v>5</v>
      </c>
      <c r="C9" s="95">
        <f>'на выход'!D174</f>
        <v>395</v>
      </c>
      <c r="D9" s="95">
        <f>'на выход'!D177</f>
        <v>150</v>
      </c>
      <c r="E9" s="95">
        <f>'на выход'!D185</f>
        <v>635</v>
      </c>
      <c r="F9" s="95">
        <f>'[1]на 100'!D155</f>
        <v>250</v>
      </c>
      <c r="G9" s="95">
        <f>'на выход'!D197</f>
        <v>475</v>
      </c>
    </row>
    <row r="10" spans="2:7" ht="18.75">
      <c r="B10" s="94">
        <v>6</v>
      </c>
      <c r="C10" s="95">
        <f>'на выход'!D211</f>
        <v>350</v>
      </c>
      <c r="D10" s="95">
        <f>'на выход'!D214</f>
        <v>150</v>
      </c>
      <c r="E10" s="95">
        <f>'на выход'!D224</f>
        <v>620</v>
      </c>
      <c r="F10" s="95">
        <f>'на выход'!D236</f>
        <v>355</v>
      </c>
      <c r="G10" s="95">
        <f>'на выход'!D236</f>
        <v>355</v>
      </c>
    </row>
    <row r="11" spans="2:7" ht="18.75">
      <c r="B11" s="94">
        <v>7</v>
      </c>
      <c r="C11" s="95">
        <f>'на выход'!D250</f>
        <v>335</v>
      </c>
      <c r="D11" s="95">
        <f>'на выход'!D253</f>
        <v>120</v>
      </c>
      <c r="E11" s="95">
        <f>'на выход'!D262</f>
        <v>610</v>
      </c>
      <c r="F11" s="95">
        <f>'на выход'!D268</f>
        <v>230</v>
      </c>
      <c r="G11" s="95">
        <f>'на выход'!D276</f>
        <v>495</v>
      </c>
    </row>
    <row r="12" spans="2:7" ht="18.75">
      <c r="B12" s="94">
        <v>8</v>
      </c>
      <c r="C12" s="95">
        <f>'на выход'!D291</f>
        <v>415</v>
      </c>
      <c r="D12" s="95">
        <f>'на выход'!D294</f>
        <v>150</v>
      </c>
      <c r="E12" s="95">
        <f>'на выход'!D303</f>
        <v>605</v>
      </c>
      <c r="F12" s="95">
        <f>'на выход'!D307</f>
        <v>205</v>
      </c>
      <c r="G12" s="95">
        <f>'на выход'!D316</f>
        <v>420</v>
      </c>
    </row>
    <row r="13" spans="2:7" ht="18.75">
      <c r="B13" s="94">
        <v>9</v>
      </c>
      <c r="C13" s="95">
        <f>'на выход'!D330</f>
        <v>340</v>
      </c>
      <c r="D13" s="95">
        <f>'на выход'!D333</f>
        <v>120</v>
      </c>
      <c r="E13" s="95">
        <f>'на выход'!D342</f>
        <v>630</v>
      </c>
      <c r="F13" s="95">
        <f>'на выход'!D346</f>
        <v>250</v>
      </c>
      <c r="G13" s="95">
        <f>'на выход'!D352</f>
        <v>0</v>
      </c>
    </row>
    <row r="14" spans="2:7" ht="18.75">
      <c r="B14" s="94">
        <v>10</v>
      </c>
      <c r="C14" s="95">
        <f>'на выход'!D370</f>
        <v>405</v>
      </c>
      <c r="D14" s="95">
        <f>'на выход'!D373</f>
        <v>150</v>
      </c>
      <c r="E14" s="95">
        <f>'на выход'!D384</f>
        <v>630</v>
      </c>
      <c r="F14" s="95">
        <f>'на выход'!D388</f>
        <v>210</v>
      </c>
      <c r="G14" s="95">
        <f>'на выход'!D394</f>
        <v>335</v>
      </c>
    </row>
    <row r="15" spans="2:7" ht="18.75">
      <c r="B15" s="96" t="s">
        <v>118</v>
      </c>
      <c r="C15" s="97">
        <v>350</v>
      </c>
      <c r="D15" s="97">
        <v>100</v>
      </c>
      <c r="E15" s="106">
        <v>450</v>
      </c>
      <c r="F15" s="97">
        <v>200</v>
      </c>
      <c r="G15" s="106">
        <v>400</v>
      </c>
    </row>
    <row r="16" spans="2:7" ht="18.75">
      <c r="B16" s="93" t="s">
        <v>119</v>
      </c>
      <c r="C16" s="98">
        <f>(C5+C6+C7+C8+C9+C10+C11+C12+C13+C14)/10</f>
        <v>373.5</v>
      </c>
      <c r="D16" s="98">
        <f>(D5+D6+D7+D8+D9+D10+D11+D12+D13+D14)/10</f>
        <v>146</v>
      </c>
      <c r="E16" s="98">
        <f>(E5+E6+E7+E8+E9+E10+E11+E12+E13+E14)/10</f>
        <v>628.20000000000005</v>
      </c>
      <c r="F16" s="98">
        <f>(F5+F6+F7+F8+F9+F10+F11+F12+F13+F14)/10</f>
        <v>249.5</v>
      </c>
      <c r="G16" s="107">
        <f>(G5+G6+G7+G8+G9+G10+G11+G12+G13+G14)/10</f>
        <v>385.5</v>
      </c>
    </row>
  </sheetData>
  <mergeCells count="1">
    <mergeCell ref="B2:G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13" sqref="A13"/>
    </sheetView>
  </sheetViews>
  <sheetFormatPr defaultColWidth="9.140625" defaultRowHeight="18.75"/>
  <cols>
    <col min="1" max="1" width="141.7109375" style="11" customWidth="1"/>
    <col min="2" max="16384" width="9.140625" style="11"/>
  </cols>
  <sheetData>
    <row r="1" spans="1:1">
      <c r="A1" s="10" t="s">
        <v>73</v>
      </c>
    </row>
    <row r="2" spans="1:1" s="15" customFormat="1" ht="33">
      <c r="A2" s="14" t="s">
        <v>266</v>
      </c>
    </row>
    <row r="3" spans="1:1" s="15" customFormat="1" ht="33">
      <c r="A3" s="14" t="s">
        <v>267</v>
      </c>
    </row>
    <row r="4" spans="1:1" s="15" customFormat="1" ht="33">
      <c r="A4" s="14" t="s">
        <v>268</v>
      </c>
    </row>
    <row r="5" spans="1:1" s="15" customFormat="1" ht="16.5">
      <c r="A5" s="14" t="s">
        <v>270</v>
      </c>
    </row>
    <row r="6" spans="1:1" s="15" customFormat="1" ht="33">
      <c r="A6" s="14" t="s">
        <v>269</v>
      </c>
    </row>
    <row r="7" spans="1:1" s="15" customFormat="1" ht="16.5">
      <c r="A7" s="16" t="s">
        <v>74</v>
      </c>
    </row>
    <row r="8" spans="1:1" s="15" customFormat="1" ht="16.5">
      <c r="A8" s="16" t="s">
        <v>75</v>
      </c>
    </row>
    <row r="9" spans="1:1" s="15" customFormat="1" ht="33">
      <c r="A9" s="17" t="s">
        <v>122</v>
      </c>
    </row>
    <row r="10" spans="1:1">
      <c r="A10" s="13"/>
    </row>
    <row r="11" spans="1:1">
      <c r="A11" s="12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25"/>
  <sheetViews>
    <sheetView workbookViewId="0">
      <selection activeCell="M20" sqref="M20"/>
    </sheetView>
  </sheetViews>
  <sheetFormatPr defaultColWidth="9.140625" defaultRowHeight="15"/>
  <cols>
    <col min="1" max="1" width="36.28515625" style="26" customWidth="1"/>
    <col min="2" max="6" width="9.140625" style="26"/>
    <col min="7" max="8" width="10.7109375" style="26" customWidth="1"/>
    <col min="9" max="9" width="9.5703125" style="26" customWidth="1"/>
    <col min="10" max="16384" width="9.140625" style="26"/>
  </cols>
  <sheetData>
    <row r="2" spans="1:10">
      <c r="A2" s="31" t="s">
        <v>91</v>
      </c>
    </row>
    <row r="3" spans="1:10" ht="15.75">
      <c r="A3" s="28"/>
      <c r="B3" s="28"/>
      <c r="C3" s="178" t="s">
        <v>90</v>
      </c>
      <c r="D3" s="178"/>
      <c r="E3" s="178" t="s">
        <v>77</v>
      </c>
      <c r="F3" s="178"/>
      <c r="G3" s="178" t="s">
        <v>78</v>
      </c>
      <c r="H3" s="178"/>
      <c r="I3" s="178" t="s">
        <v>79</v>
      </c>
      <c r="J3" s="178"/>
    </row>
    <row r="4" spans="1:10" ht="15.75">
      <c r="A4" s="28"/>
      <c r="B4" s="28"/>
      <c r="C4" s="29" t="s">
        <v>84</v>
      </c>
      <c r="D4" s="29" t="s">
        <v>85</v>
      </c>
      <c r="E4" s="29" t="s">
        <v>84</v>
      </c>
      <c r="F4" s="29" t="s">
        <v>85</v>
      </c>
      <c r="G4" s="29" t="s">
        <v>84</v>
      </c>
      <c r="H4" s="29" t="s">
        <v>85</v>
      </c>
      <c r="I4" s="29" t="s">
        <v>84</v>
      </c>
      <c r="J4" s="29" t="s">
        <v>85</v>
      </c>
    </row>
    <row r="5" spans="1:10" ht="15.75">
      <c r="A5" s="28" t="s">
        <v>80</v>
      </c>
      <c r="B5" s="28" t="s">
        <v>83</v>
      </c>
      <c r="C5" s="28">
        <f>77*20/100</f>
        <v>15.4</v>
      </c>
      <c r="D5" s="28">
        <f>77*25/100</f>
        <v>19.25</v>
      </c>
      <c r="E5" s="28">
        <f>79*20/100</f>
        <v>15.8</v>
      </c>
      <c r="F5" s="28">
        <f>79*25/100</f>
        <v>19.75</v>
      </c>
      <c r="G5" s="28">
        <f>335*20/100</f>
        <v>67</v>
      </c>
      <c r="H5" s="28">
        <f>335*25/100</f>
        <v>83.75</v>
      </c>
      <c r="I5" s="28">
        <f>2350*20/100</f>
        <v>470</v>
      </c>
      <c r="J5" s="28">
        <f>2350*25/100</f>
        <v>587.5</v>
      </c>
    </row>
    <row r="6" spans="1:10" ht="15.75">
      <c r="A6" s="28" t="s">
        <v>81</v>
      </c>
      <c r="B6" s="28" t="s">
        <v>86</v>
      </c>
      <c r="C6" s="28">
        <f>77*30/100</f>
        <v>23.1</v>
      </c>
      <c r="D6" s="28">
        <f>77*35/100</f>
        <v>26.95</v>
      </c>
      <c r="E6" s="28">
        <f>79*30/100</f>
        <v>23.7</v>
      </c>
      <c r="F6" s="28">
        <f>79*35/100</f>
        <v>27.65</v>
      </c>
      <c r="G6" s="28">
        <f>335*30/100</f>
        <v>100.5</v>
      </c>
      <c r="H6" s="28">
        <f>335*35/100</f>
        <v>117.25</v>
      </c>
      <c r="I6" s="28">
        <f>2350*30/100</f>
        <v>705</v>
      </c>
      <c r="J6" s="28">
        <f>2350*35/100</f>
        <v>822.5</v>
      </c>
    </row>
    <row r="7" spans="1:10" ht="15.75">
      <c r="A7" s="28" t="s">
        <v>82</v>
      </c>
      <c r="B7" s="28" t="s">
        <v>87</v>
      </c>
      <c r="C7" s="28">
        <f>77*10/100</f>
        <v>7.7</v>
      </c>
      <c r="D7" s="28">
        <f>77*15/100</f>
        <v>11.55</v>
      </c>
      <c r="E7" s="28">
        <f>79*10/100</f>
        <v>7.9</v>
      </c>
      <c r="F7" s="28">
        <f>79*15/100</f>
        <v>11.85</v>
      </c>
      <c r="G7" s="28">
        <f>335*10/100</f>
        <v>33.5</v>
      </c>
      <c r="H7" s="28">
        <f>335*15/100</f>
        <v>50.25</v>
      </c>
      <c r="I7" s="28">
        <f>2350*10/100</f>
        <v>235</v>
      </c>
      <c r="J7" s="28">
        <f>2350*15/100</f>
        <v>352.5</v>
      </c>
    </row>
    <row r="8" spans="1:10" ht="15.75">
      <c r="A8" s="28" t="s">
        <v>88</v>
      </c>
      <c r="B8" s="28" t="s">
        <v>89</v>
      </c>
      <c r="C8" s="28">
        <f>SUM(C5:C7)</f>
        <v>46.2</v>
      </c>
      <c r="D8" s="28">
        <f t="shared" ref="D8:J8" si="0">SUM(D5:D7)</f>
        <v>57.75</v>
      </c>
      <c r="E8" s="28">
        <f t="shared" si="0"/>
        <v>47.4</v>
      </c>
      <c r="F8" s="28">
        <f t="shared" si="0"/>
        <v>59.25</v>
      </c>
      <c r="G8" s="28">
        <f t="shared" si="0"/>
        <v>201</v>
      </c>
      <c r="H8" s="28">
        <f t="shared" si="0"/>
        <v>251.25</v>
      </c>
      <c r="I8" s="28">
        <f t="shared" si="0"/>
        <v>1410</v>
      </c>
      <c r="J8" s="28">
        <f t="shared" si="0"/>
        <v>1762.5</v>
      </c>
    </row>
    <row r="9" spans="1:10">
      <c r="C9" s="27"/>
    </row>
    <row r="10" spans="1:10">
      <c r="A10" s="26" t="s">
        <v>92</v>
      </c>
    </row>
    <row r="11" spans="1:10" ht="15.75">
      <c r="A11" s="28"/>
      <c r="B11" s="28"/>
      <c r="C11" s="178" t="s">
        <v>90</v>
      </c>
      <c r="D11" s="178"/>
      <c r="E11" s="178" t="s">
        <v>77</v>
      </c>
      <c r="F11" s="178"/>
      <c r="G11" s="178" t="s">
        <v>78</v>
      </c>
      <c r="H11" s="178"/>
      <c r="I11" s="178" t="s">
        <v>79</v>
      </c>
      <c r="J11" s="178"/>
    </row>
    <row r="12" spans="1:10" ht="15.75">
      <c r="A12" s="28"/>
      <c r="B12" s="28"/>
      <c r="C12" s="30" t="s">
        <v>84</v>
      </c>
      <c r="D12" s="30" t="s">
        <v>85</v>
      </c>
      <c r="E12" s="30" t="s">
        <v>84</v>
      </c>
      <c r="F12" s="30" t="s">
        <v>85</v>
      </c>
      <c r="G12" s="30" t="s">
        <v>84</v>
      </c>
      <c r="H12" s="30" t="s">
        <v>85</v>
      </c>
      <c r="I12" s="30" t="s">
        <v>84</v>
      </c>
      <c r="J12" s="30" t="s">
        <v>85</v>
      </c>
    </row>
    <row r="13" spans="1:10" ht="15.75">
      <c r="A13" s="28" t="s">
        <v>80</v>
      </c>
      <c r="B13" s="28" t="s">
        <v>83</v>
      </c>
      <c r="C13" s="28">
        <f>90*20/100</f>
        <v>18</v>
      </c>
      <c r="D13" s="28">
        <f>90*25/100</f>
        <v>22.5</v>
      </c>
      <c r="E13" s="28">
        <f>92*20/100</f>
        <v>18.399999999999999</v>
      </c>
      <c r="F13" s="28">
        <f>92*25/100</f>
        <v>23</v>
      </c>
      <c r="G13" s="28">
        <f>383*20/100</f>
        <v>76.599999999999994</v>
      </c>
      <c r="H13" s="28">
        <f>383*25/100</f>
        <v>95.75</v>
      </c>
      <c r="I13" s="28">
        <f>2720*20/100</f>
        <v>544</v>
      </c>
      <c r="J13" s="28">
        <f>2350*25/100</f>
        <v>587.5</v>
      </c>
    </row>
    <row r="14" spans="1:10" ht="15.75">
      <c r="A14" s="28" t="s">
        <v>81</v>
      </c>
      <c r="B14" s="28" t="s">
        <v>86</v>
      </c>
      <c r="C14" s="28">
        <f>90*30/100</f>
        <v>27</v>
      </c>
      <c r="D14" s="28">
        <f>90*35/100</f>
        <v>31.5</v>
      </c>
      <c r="E14" s="28">
        <f>92*30/100</f>
        <v>27.6</v>
      </c>
      <c r="F14" s="28">
        <f>92*35/100</f>
        <v>32.200000000000003</v>
      </c>
      <c r="G14" s="28">
        <f>383*30/100</f>
        <v>114.9</v>
      </c>
      <c r="H14" s="28">
        <f>383*35/100</f>
        <v>134.05000000000001</v>
      </c>
      <c r="I14" s="28">
        <f>2720*30/100</f>
        <v>816</v>
      </c>
      <c r="J14" s="28">
        <f>2350*35/100</f>
        <v>822.5</v>
      </c>
    </row>
    <row r="15" spans="1:10" ht="15.75">
      <c r="A15" s="28" t="s">
        <v>82</v>
      </c>
      <c r="B15" s="28" t="s">
        <v>87</v>
      </c>
      <c r="C15" s="28">
        <f>90*10/100</f>
        <v>9</v>
      </c>
      <c r="D15" s="28">
        <f>90*15/100</f>
        <v>13.5</v>
      </c>
      <c r="E15" s="28">
        <f>92*10/100</f>
        <v>9.1999999999999993</v>
      </c>
      <c r="F15" s="28">
        <f>92*15/100</f>
        <v>13.8</v>
      </c>
      <c r="G15" s="28">
        <f>383*10/100</f>
        <v>38.299999999999997</v>
      </c>
      <c r="H15" s="28">
        <f>383*15/100</f>
        <v>57.45</v>
      </c>
      <c r="I15" s="28">
        <f>2720*10/100</f>
        <v>272</v>
      </c>
      <c r="J15" s="28">
        <f>2720*15/100</f>
        <v>408</v>
      </c>
    </row>
    <row r="16" spans="1:10" ht="15.75">
      <c r="A16" s="28" t="s">
        <v>88</v>
      </c>
      <c r="B16" s="28" t="s">
        <v>89</v>
      </c>
      <c r="C16" s="28">
        <f>SUM(C13:C15)</f>
        <v>54</v>
      </c>
      <c r="D16" s="28">
        <f t="shared" ref="D16:J16" si="1">SUM(D13:D15)</f>
        <v>67.5</v>
      </c>
      <c r="E16" s="28">
        <f t="shared" si="1"/>
        <v>55.2</v>
      </c>
      <c r="F16" s="28">
        <f t="shared" si="1"/>
        <v>69</v>
      </c>
      <c r="G16" s="28">
        <f t="shared" si="1"/>
        <v>229.8</v>
      </c>
      <c r="H16" s="28">
        <f t="shared" si="1"/>
        <v>287.25</v>
      </c>
      <c r="I16" s="28">
        <f t="shared" si="1"/>
        <v>1632</v>
      </c>
      <c r="J16" s="28">
        <f t="shared" si="1"/>
        <v>1818</v>
      </c>
    </row>
    <row r="17" spans="1:10">
      <c r="C17" s="26">
        <v>60.42</v>
      </c>
      <c r="E17" s="26">
        <v>63.65</v>
      </c>
      <c r="G17" s="26">
        <v>245.7</v>
      </c>
      <c r="I17" s="26">
        <v>1827.17</v>
      </c>
    </row>
    <row r="20" spans="1:10" ht="83.25" customHeight="1">
      <c r="A20" s="180" t="s">
        <v>93</v>
      </c>
      <c r="B20" s="180"/>
      <c r="C20" s="180"/>
      <c r="D20" s="180"/>
      <c r="E20" s="180"/>
      <c r="F20" s="180"/>
      <c r="G20" s="180"/>
      <c r="H20" s="180"/>
      <c r="I20" s="180"/>
      <c r="J20" s="180"/>
    </row>
    <row r="21" spans="1:10" ht="15.75">
      <c r="A21" s="181"/>
      <c r="B21" s="182"/>
      <c r="C21" s="178" t="s">
        <v>90</v>
      </c>
      <c r="D21" s="178"/>
      <c r="E21" s="178" t="s">
        <v>77</v>
      </c>
      <c r="F21" s="178"/>
      <c r="G21" s="178" t="s">
        <v>78</v>
      </c>
      <c r="H21" s="178"/>
      <c r="I21" s="178" t="s">
        <v>79</v>
      </c>
      <c r="J21" s="178"/>
    </row>
    <row r="22" spans="1:10" ht="15.75">
      <c r="A22" s="178"/>
      <c r="B22" s="178"/>
      <c r="C22" s="30" t="s">
        <v>84</v>
      </c>
      <c r="D22" s="30" t="s">
        <v>85</v>
      </c>
      <c r="E22" s="30" t="s">
        <v>84</v>
      </c>
      <c r="F22" s="30" t="s">
        <v>85</v>
      </c>
      <c r="G22" s="30" t="s">
        <v>84</v>
      </c>
      <c r="H22" s="30" t="s">
        <v>85</v>
      </c>
      <c r="I22" s="30" t="s">
        <v>84</v>
      </c>
      <c r="J22" s="30" t="s">
        <v>85</v>
      </c>
    </row>
    <row r="23" spans="1:10" ht="45" customHeight="1">
      <c r="A23" s="179" t="s">
        <v>95</v>
      </c>
      <c r="B23" s="179"/>
      <c r="C23" s="32">
        <v>46.2</v>
      </c>
      <c r="D23" s="32">
        <v>57.75</v>
      </c>
      <c r="E23" s="32">
        <v>47.4</v>
      </c>
      <c r="F23" s="32">
        <v>59.25</v>
      </c>
      <c r="G23" s="32">
        <v>201</v>
      </c>
      <c r="H23" s="32">
        <v>251.25</v>
      </c>
      <c r="I23" s="32">
        <v>1410</v>
      </c>
      <c r="J23" s="32">
        <v>1762.5</v>
      </c>
    </row>
    <row r="24" spans="1:10" ht="45" customHeight="1">
      <c r="A24" s="179" t="s">
        <v>96</v>
      </c>
      <c r="B24" s="179"/>
      <c r="C24" s="32">
        <v>54</v>
      </c>
      <c r="D24" s="32">
        <v>67.5</v>
      </c>
      <c r="E24" s="32">
        <v>55.2</v>
      </c>
      <c r="F24" s="32">
        <v>69</v>
      </c>
      <c r="G24" s="32">
        <v>229.8</v>
      </c>
      <c r="H24" s="32">
        <v>287.25</v>
      </c>
      <c r="I24" s="32">
        <v>1632</v>
      </c>
      <c r="J24" s="32">
        <v>1818</v>
      </c>
    </row>
    <row r="25" spans="1:10" ht="45" customHeight="1">
      <c r="A25" s="179" t="s">
        <v>94</v>
      </c>
      <c r="B25" s="179"/>
      <c r="C25" s="177">
        <v>60.42</v>
      </c>
      <c r="D25" s="177"/>
      <c r="E25" s="177">
        <v>63.65</v>
      </c>
      <c r="F25" s="177"/>
      <c r="G25" s="177">
        <v>245.7</v>
      </c>
      <c r="H25" s="177"/>
      <c r="I25" s="177">
        <v>1827.17</v>
      </c>
      <c r="J25" s="177"/>
    </row>
  </sheetData>
  <mergeCells count="22">
    <mergeCell ref="G3:H3"/>
    <mergeCell ref="E3:F3"/>
    <mergeCell ref="C3:D3"/>
    <mergeCell ref="I3:J3"/>
    <mergeCell ref="C11:D11"/>
    <mergeCell ref="E11:F11"/>
    <mergeCell ref="G11:H11"/>
    <mergeCell ref="I11:J11"/>
    <mergeCell ref="A20:J20"/>
    <mergeCell ref="C21:D21"/>
    <mergeCell ref="E21:F21"/>
    <mergeCell ref="G21:H21"/>
    <mergeCell ref="I21:J21"/>
    <mergeCell ref="A21:B21"/>
    <mergeCell ref="E25:F25"/>
    <mergeCell ref="G25:H25"/>
    <mergeCell ref="I25:J25"/>
    <mergeCell ref="A22:B22"/>
    <mergeCell ref="A23:B23"/>
    <mergeCell ref="A24:B24"/>
    <mergeCell ref="A25:B25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Титул</vt:lpstr>
      <vt:lpstr>на выход</vt:lpstr>
      <vt:lpstr>сводки БЖУ</vt:lpstr>
      <vt:lpstr>сводки по продуктам</vt:lpstr>
      <vt:lpstr>обьемы по приемам пищи</vt:lpstr>
      <vt:lpstr>библиография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1</cp:lastModifiedBy>
  <cp:lastPrinted>2022-12-27T09:51:29Z</cp:lastPrinted>
  <dcterms:created xsi:type="dcterms:W3CDTF">2020-10-25T16:40:18Z</dcterms:created>
  <dcterms:modified xsi:type="dcterms:W3CDTF">2024-11-08T14:48:25Z</dcterms:modified>
</cp:coreProperties>
</file>